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445" firstSheet="20" activeTab="23"/>
  </bookViews>
  <sheets>
    <sheet name="приложение по энергосбережению" sheetId="1" r:id="rId1"/>
    <sheet name="бланк ПФХД " sheetId="2" r:id="rId2"/>
    <sheet name="пример по оплате труда(бюджет)" sheetId="3" r:id="rId3"/>
    <sheet name="пример по оплате труда(внебюдже" sheetId="4" r:id="rId4"/>
    <sheet name="расч.расх.на опл.тр." sheetId="5" r:id="rId5"/>
    <sheet name="служеб.коман." sheetId="6" r:id="rId6"/>
    <sheet name="вып.перс.по уход.за реб." sheetId="7" r:id="rId7"/>
    <sheet name="страх.взносы" sheetId="8" r:id="rId8"/>
    <sheet name="соц.и иные выпл." sheetId="9" r:id="rId9"/>
    <sheet name="налоги" sheetId="10" r:id="rId10"/>
    <sheet name="проч.налоги и сборы" sheetId="11" r:id="rId11"/>
    <sheet name="безвозм.переч-ия" sheetId="12" r:id="rId12"/>
    <sheet name="проч.расходы" sheetId="13" r:id="rId13"/>
    <sheet name="расх.на оплат.услуг связи" sheetId="14" r:id="rId14"/>
    <sheet name="расх.на оплат.транс.услуг " sheetId="15" r:id="rId15"/>
    <sheet name="расх.на оплат.комун.услуг" sheetId="16" r:id="rId16"/>
    <sheet name="расх.на оплат.арен.имущ." sheetId="17" r:id="rId17"/>
    <sheet name="расх.на оплат.содер.имущ." sheetId="18" r:id="rId18"/>
    <sheet name="расх.на опл.проч.раб.и  (бюдж)" sheetId="19" r:id="rId19"/>
    <sheet name="расх.на опл.проч.раб.и (внебюдж" sheetId="20" r:id="rId20"/>
    <sheet name="основ.сред." sheetId="21" r:id="rId21"/>
    <sheet name="приоб.мат.запасов (внебюджет)" sheetId="22" r:id="rId22"/>
    <sheet name="приоб.мат.запасов (бюджет" sheetId="23" r:id="rId23"/>
    <sheet name="ФЗП бюджет-допол" sheetId="24" r:id="rId24"/>
    <sheet name="Лист4" sheetId="25" r:id="rId25"/>
    <sheet name="Лист1" sheetId="26" r:id="rId26"/>
    <sheet name="Лист2" sheetId="27" r:id="rId27"/>
  </sheets>
  <externalReferences>
    <externalReference r:id="rId30"/>
  </externalReferences>
  <definedNames>
    <definedName name="admi" localSheetId="23">'ФЗП бюджет-допол'!#REF!</definedName>
    <definedName name="auxi" localSheetId="23">'ФЗП бюджет-допол'!#REF!</definedName>
    <definedName name="pedi" localSheetId="23">'ФЗП бюджет-допол'!#REF!</definedName>
    <definedName name="stai" localSheetId="23">'ФЗП бюджет-допол'!#REF!</definedName>
    <definedName name="teai" localSheetId="23">'ФЗП бюджет-допол'!#REF!</definedName>
    <definedName name="иии">'ФЗП бюджет-допол'!#REF!</definedName>
    <definedName name="ммм">'ФЗП бюджет-допол'!#REF!</definedName>
    <definedName name="ььь">'ФЗП бюджет-допол'!#REF!</definedName>
  </definedNames>
  <calcPr fullCalcOnLoad="1"/>
</workbook>
</file>

<file path=xl/sharedStrings.xml><?xml version="1.0" encoding="utf-8"?>
<sst xmlns="http://schemas.openxmlformats.org/spreadsheetml/2006/main" count="1134" uniqueCount="640">
  <si>
    <t>Фонд оплаты труда в год, руб. (гр.3 х гр.4 х (1+ гр. 8/100) х гр. 9 х 12);(распределен по категор, пропорц темпу роста ср.зп всего проч персонала)</t>
  </si>
  <si>
    <t>в том числе  отпускные (по категор.пропорц числ или чел-дням)</t>
  </si>
  <si>
    <t>доля Ф стим в общем ФОТ</t>
  </si>
  <si>
    <t>Фонд оплаты труда -бюджет</t>
  </si>
  <si>
    <t>1. Расчетная таблица к Фонду заработной платы по бюджету (приложение к ПФХД)</t>
  </si>
  <si>
    <t>дней</t>
  </si>
  <si>
    <t>5.21за качество (равен приказу, не не более 60%)</t>
  </si>
  <si>
    <t>5.22. компенсационная часть прочего персонала с рк</t>
  </si>
  <si>
    <t>1,37,Число дней отпуска на 1 педагога</t>
  </si>
  <si>
    <t>5.22. за стаж (по приказам)</t>
  </si>
  <si>
    <t>5.23. итого базовая часть прочего персонала с рк</t>
  </si>
  <si>
    <t>1,38Число дней отпуска на 1 прочегог работника</t>
  </si>
  <si>
    <t>5.23. прочие выплаты и МП</t>
  </si>
  <si>
    <t>1,39стоимость 1 дня отпуска всех  работников</t>
  </si>
  <si>
    <t>руб</t>
  </si>
  <si>
    <t>5.23.принят в расчт прочие выплаты и МП (по приказам, не более 5%)</t>
  </si>
  <si>
    <t>5.18. График ухода в  отпуск прочего персонала , с указанием дней отпусков в месяце, чел-дни ( равен разд 1 стр. 1.29) по табелю рабочего времени</t>
  </si>
  <si>
    <t>в примере прочий персонал в течение одного месяца отгуливает весь отпуск, переходящих дней отпусков из одного месяца в другой нет</t>
  </si>
  <si>
    <t>1,40,стоимость 1 дня отпуска всех  педагогов</t>
  </si>
  <si>
    <t>5.25. ФОТ направить на погашение кредиторской задолженности</t>
  </si>
  <si>
    <t>5.18.1. График ухода  в отпуск прочего персонала с указанием дней отпуска в момент ухода (итог равен чел-дням отпуска раздел1 стр 1.29.) для начисления отпускных</t>
  </si>
  <si>
    <t>1,41,стоимость 1 дня отпуска всех  прочих работников</t>
  </si>
  <si>
    <t>5.27. свободные лимиты по 211 экр,передвижка лимитов с 211 на другой код ЭКР</t>
  </si>
  <si>
    <t>5.19. дни отпус на 1 прочего персонала (стр.5.18.1/стр 1.25)</t>
  </si>
  <si>
    <t>6. Распределение фактических расходов и кассовых выплат по зарплате по месяцам года и по категориям персонала</t>
  </si>
  <si>
    <t>5.20 . Начислен резерв отпускных прочего персонала, равномерно 1/12 часть</t>
  </si>
  <si>
    <t>месяц года</t>
  </si>
  <si>
    <t>7. Свод начислений по категориям персонала</t>
  </si>
  <si>
    <t>структура ФЗП по категор.перс. и вид.выплат</t>
  </si>
  <si>
    <t>% резерва</t>
  </si>
  <si>
    <t>педагоги</t>
  </si>
  <si>
    <t>прочий</t>
  </si>
  <si>
    <t>5.8. Начисление фактических  отпускных  прочего персонала за все дни,за счет резерва , итог равен резерву (стр.5.19. х стоимость 1 ч-д графа АТ)</t>
  </si>
  <si>
    <t>тарифная с р.к.</t>
  </si>
  <si>
    <t>5.    . стимулир прочего персоналас рк-всего</t>
  </si>
  <si>
    <t>в т.ч. тариф</t>
  </si>
  <si>
    <t>р.к.</t>
  </si>
  <si>
    <t>5.21. число отработ календ дней прочим персоналом за предыдущий премиальн период  (в расчете  на 1 работн ) 1полуг-июль-декабрь;2полуг-янв-июнь</t>
  </si>
  <si>
    <t>компенсационная с р.к.</t>
  </si>
  <si>
    <t>5.22. по итогам работы прочего персонала с рк (пропор.отраб.раб.дням стр 5.21. и стоимости 1 дня -графа АТ)</t>
  </si>
  <si>
    <t>в т.ч. Компенсационная</t>
  </si>
  <si>
    <t>5.23.1. Число факт отработ в месяце календ дней прочим персоналом (в расчете  на 1 работн )</t>
  </si>
  <si>
    <t>базовая с р.к.</t>
  </si>
  <si>
    <t>5.23.интенсивность прочего персонала  с рк (пропорц числу раб дней стр.5.23.1. и стоим 1 дня граф АТ)</t>
  </si>
  <si>
    <t xml:space="preserve">в т.ч. базовая </t>
  </si>
  <si>
    <t>5.24. за качество прочего персонала, с р.к.</t>
  </si>
  <si>
    <t>отпускные</t>
  </si>
  <si>
    <t>% качемтво</t>
  </si>
  <si>
    <t>стимулирование с р.к.-всего</t>
  </si>
  <si>
    <t>5.25. за стаж прочего персонала, с рк</t>
  </si>
  <si>
    <t>в т.ч. Стимулир</t>
  </si>
  <si>
    <t>Кред задолж на 01.01.2017</t>
  </si>
  <si>
    <t>5.26. разов и МП прочего персонала, (без рк)</t>
  </si>
  <si>
    <t xml:space="preserve">итого лимиты на год </t>
  </si>
  <si>
    <t>выплаты по итогам с р.к.</t>
  </si>
  <si>
    <t>Всего персонал</t>
  </si>
  <si>
    <t>Установленная расчетная численность, единиц</t>
  </si>
  <si>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</si>
  <si>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</si>
  <si>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</si>
  <si>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</si>
  <si>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</si>
  <si>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Главный бухгалтер государственного бюджетного (автономного) учреждения (подразделения)</t>
  </si>
  <si>
    <t>Итого прочий персонал:</t>
  </si>
  <si>
    <t>Мтого основной педперсонал</t>
  </si>
  <si>
    <t>Всего</t>
  </si>
  <si>
    <t>Итого базовая часть</t>
  </si>
  <si>
    <t>итого тарифная часть</t>
  </si>
  <si>
    <t>в т.ч. Ежемесячная надбавка к должностному окладу из тарифной части,%</t>
  </si>
  <si>
    <t>УТВЕРЖДАЮ</t>
  </si>
  <si>
    <t>(подпись)</t>
  </si>
  <si>
    <t>(расшифровка подписи)</t>
  </si>
  <si>
    <t>"_______"________________ 20____г.</t>
  </si>
  <si>
    <t>"_______"________________ 20____г. заключение Наблюдательного Совета автономного учреждения</t>
  </si>
  <si>
    <t>План финансово - хозяйственной деятельности</t>
  </si>
  <si>
    <t>КОДЫ</t>
  </si>
  <si>
    <t>Форма по КФД</t>
  </si>
  <si>
    <t>"_____"___________________ 20___г.</t>
  </si>
  <si>
    <t>Дата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</si>
  <si>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</si>
  <si>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</si>
  <si>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</si>
  <si>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</si>
  <si>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</si>
  <si>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I.  Сведения о деятельности государственного бюджетного учреждения 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</si>
  <si>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</si>
  <si>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</si>
  <si>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</si>
  <si>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</si>
  <si>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>1.2. Цели деятельности государственного бюджетного учреждения (подразделения):</t>
  </si>
  <si>
    <t>1.3. Виды деятельности государственного бюджетного учреждения (подразделения):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</si>
  <si>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</si>
  <si>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</si>
  <si>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</si>
  <si>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</si>
  <si>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</si>
  <si>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</si>
  <si>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</si>
  <si>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</si>
  <si>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3 года</t>
  </si>
  <si>
    <t>Стоимость услуг (работ), рублей</t>
  </si>
  <si>
    <t xml:space="preserve">Сумма дохода в год, </t>
  </si>
  <si>
    <t>рублей</t>
  </si>
  <si>
    <t>2.1. Перечень государственных услуг (работ):</t>
  </si>
  <si>
    <t>2.2. Перечень государственных работ:</t>
  </si>
  <si>
    <t>2.3. Перечень услуг (работ), осуществляемых на платной основе:</t>
  </si>
  <si>
    <t>II. Показатели финансового состояния государственного учреждения</t>
  </si>
  <si>
    <t>(последнюю отчетную дату)</t>
  </si>
  <si>
    <t>Сумма, тыс.руб.</t>
  </si>
  <si>
    <t>Нефинансовые активы, всего:</t>
  </si>
  <si>
    <t>из них:                                                                                            денежные средства учреждения, всего:</t>
  </si>
  <si>
    <t>в том числе: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</si>
  <si>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</si>
  <si>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</si>
  <si>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</si>
  <si>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</si>
  <si>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</si>
  <si>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Код по бюджетной классификации РФ*</t>
  </si>
  <si>
    <t>Примечание (в гр.3 по строкам 110-180 ,300-420 указываються КБК доходов "двадцатизначные"; по стр.210-280 указываються коды видов расходо(выплат) учреждения, по котрым принимаются или исполняются обязательства учреждения( по лицевому счету в ОФК)</t>
  </si>
  <si>
    <t>из них:                                                                                         долговые обязательства</t>
  </si>
  <si>
    <t>кредиторская задолженность:</t>
  </si>
  <si>
    <t>в том числе:                                                                                 просроченная кредиторская задолженность</t>
  </si>
  <si>
    <t>III. Показатели по поступлениям и выплатам государственного учреждения</t>
  </si>
  <si>
    <t>Код строки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</si>
  <si>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</si>
  <si>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</si>
  <si>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</si>
  <si>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 том числе</t>
  </si>
  <si>
    <t>субсидии на финансовое обеспечение выполнения государственного задания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</si>
  <si>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</si>
  <si>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</si>
  <si>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</si>
  <si>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</si>
  <si>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</si>
  <si>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</si>
  <si>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</si>
  <si>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</si>
  <si>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</si>
  <si>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</si>
  <si>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</si>
  <si>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</si>
  <si>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</si>
  <si>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</si>
  <si>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</si>
  <si>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</si>
  <si>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</si>
  <si>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</si>
  <si>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</si>
  <si>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</si>
  <si>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</si>
  <si>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</si>
  <si>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</si>
  <si>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</si>
  <si>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</si>
  <si>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</si>
  <si>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</si>
  <si>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</si>
  <si>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</si>
  <si>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</si>
  <si>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</si>
  <si>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</si>
  <si>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</si>
  <si>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</si>
  <si>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</si>
  <si>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20___г.       1-ый год планового периода</t>
  </si>
  <si>
    <t>на 20___г.       2-ой год планового периода</t>
  </si>
  <si>
    <t>на 20___г.                    очередной финансовый год</t>
  </si>
  <si>
    <t>на 20___г.                       1-ый год планового периода</t>
  </si>
  <si>
    <t>на 20___г.            2-ой год планового периода</t>
  </si>
  <si>
    <t>на  20____г.          очередной финансовый год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</si>
  <si>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</si>
  <si>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</si>
  <si>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</si>
  <si>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</si>
  <si>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</si>
  <si>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</si>
  <si>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</si>
  <si>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</si>
  <si>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</si>
  <si>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</si>
  <si>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</si>
  <si>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</si>
  <si>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</si>
  <si>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</si>
  <si>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</si>
  <si>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</si>
  <si>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</si>
  <si>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4.Мероприятия  по энергосбережению и повышению энергетической эффективности</t>
  </si>
  <si>
    <t>Задача</t>
  </si>
  <si>
    <t>Мероприятия</t>
  </si>
  <si>
    <t>Плановый результат</t>
  </si>
  <si>
    <t>Срок исполнения</t>
  </si>
  <si>
    <t>Планируемый объем затрат</t>
  </si>
  <si>
    <t>№ п/п</t>
  </si>
  <si>
    <t>Должность, группа должностей</t>
  </si>
  <si>
    <t>Установленная численность, единиц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</si>
  <si>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</si>
  <si>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</si>
  <si>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</si>
  <si>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</si>
  <si>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в том числе:</t>
  </si>
  <si>
    <t>Среднемесячный размер оплаты труда на одного работника, руб.</t>
  </si>
  <si>
    <t>Ежемесячная надбавка к должностному окладу,%</t>
  </si>
  <si>
    <t>Районный коэффициент</t>
  </si>
  <si>
    <t>Фонд оплаты труда в год, руб. (гр.3 х гр.4 х (1+ гр. 8/100) х гр. 9 х 12)</t>
  </si>
  <si>
    <t>Итого:</t>
  </si>
  <si>
    <t>х</t>
  </si>
  <si>
    <t>1.1. Расчеты (обоснования) расходов на оплату труда</t>
  </si>
  <si>
    <t>Код видов расходов___________________________________________________________________________________________________________________</t>
  </si>
  <si>
    <t>1. Расчеты (обоснования) выплат персоналу (строка 210)</t>
  </si>
  <si>
    <t>Код видов расходов_____________________________________________________________________</t>
  </si>
  <si>
    <t>Источник финансового обеспечения______________________________________________________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</si>
  <si>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</si>
  <si>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</si>
  <si>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</si>
  <si>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</si>
  <si>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</si>
  <si>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(гр.3 х гр.4 х гр.5)</t>
  </si>
  <si>
    <t>Выплаты персоналу при направлении в служебные командировки в пределах территории Российской Федерации</t>
  </si>
  <si>
    <t>1.1.</t>
  </si>
  <si>
    <r>
      <rPr>
        <b/>
        <sz val="11"/>
        <color indexed="8"/>
        <rFont val="Calibri"/>
        <family val="2"/>
      </rPr>
      <t>в том числе:</t>
    </r>
    <r>
      <rPr>
        <sz val="11"/>
        <color theme="1"/>
        <rFont val="Calibri"/>
        <family val="2"/>
      </rPr>
      <t xml:space="preserve">                                                    компенсация дополнительных расходов, связанных с проживанием вне места постоянного жительства (суточных)</t>
    </r>
  </si>
  <si>
    <t>1.2.</t>
  </si>
  <si>
    <t>компенсация расходов по проезду в служебные командировки</t>
  </si>
  <si>
    <t>1.3.</t>
  </si>
  <si>
    <t>компенсация расходов по найму жилого помещения</t>
  </si>
  <si>
    <t>Выплаты персоналу при направлении в служебные командировки на территории иностранных государств</t>
  </si>
  <si>
    <t>2.1.</t>
  </si>
  <si>
    <t>2.2.</t>
  </si>
  <si>
    <t>2.3.</t>
  </si>
  <si>
    <t>Итого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</si>
  <si>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</si>
  <si>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</si>
  <si>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</si>
  <si>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</si>
  <si>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Код видов расходов__________________________________________________________________________</t>
  </si>
  <si>
    <t>Источник финансового обеспечения___________________________________________________________</t>
  </si>
  <si>
    <t>Пособие по уходу за ребенком</t>
  </si>
  <si>
    <t xml:space="preserve">1. Расчеты (обоснования) выплат персоналу 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</si>
  <si>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Федерасии,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</si>
  <si>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</si>
  <si>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</si>
  <si>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</si>
  <si>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</si>
  <si>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в том числе:                                                                                                                                  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</si>
  <si>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</si>
  <si>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</si>
  <si>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2.</t>
  </si>
  <si>
    <t>1.</t>
  </si>
  <si>
    <t>Страховые взносы в Фонд социального страхования Российской Федерации, всего</t>
  </si>
  <si>
    <t>в том числе:                                      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</si>
  <si>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</si>
  <si>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</si>
  <si>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</si>
  <si>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0_%</t>
  </si>
  <si>
    <t>2.5.</t>
  </si>
  <si>
    <t>3.</t>
  </si>
  <si>
    <t>Страховые взносы в Федеральный фонд обязательного медицинского страхования, всего (по ставке 5,1%)</t>
  </si>
  <si>
    <t>Указываются страховые тарифы дифференцированные по классам профессионального риска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2016 год" (Собрание законодательства Российская Федерация. 2005 № 52. ст.5592: 2015. № 51. ст.7233).</t>
  </si>
  <si>
    <t>Наименование показателя</t>
  </si>
  <si>
    <t>Размер одной выплаты, руб.</t>
  </si>
  <si>
    <t>Количество выплат в год</t>
  </si>
  <si>
    <t>Общая сумма выплат, руб. (гр.3 х гр.4)</t>
  </si>
  <si>
    <t>3.1. Расчет (обоснование) расходов на оплату налога на имущество</t>
  </si>
  <si>
    <t xml:space="preserve">Наименование расходов </t>
  </si>
  <si>
    <t>Налоговая база, руб.</t>
  </si>
  <si>
    <t>Ставка налога, %</t>
  </si>
  <si>
    <t>Налог на имущество, всего</t>
  </si>
  <si>
    <t>в том числе по группам:                                                    недвижимое имущество</t>
  </si>
  <si>
    <t>из них:                                                                                       переданное в аренду</t>
  </si>
  <si>
    <t>движимое имущество</t>
  </si>
  <si>
    <t>3.2. Расчет (обоснование) расходов на оплату земельного налога</t>
  </si>
  <si>
    <t>Кадастровая стоимость земельного участка</t>
  </si>
  <si>
    <t>Сумма исчесленного налога, подлежащего уплате, руб. (гр.3 х гр.4/100)</t>
  </si>
  <si>
    <t>Сумма, руб. (гр.3 х гр.4/100)</t>
  </si>
  <si>
    <t>Земельный налог, всего</t>
  </si>
  <si>
    <t>в том числе по участкам:</t>
  </si>
  <si>
    <t>3.3. Расчет (обоснование) расходов на уплату прочих налогов и сборов</t>
  </si>
  <si>
    <t>2. Расчет (обоснование) расходов на социальные и иные выплаты населению</t>
  </si>
  <si>
    <t>3. Расчет (обоснование) расходов на уплату налогов, сборов и иных платежей</t>
  </si>
  <si>
    <t>Всего, руб. (гр.3 х гр.4/100)</t>
  </si>
  <si>
    <t>Транспортный налог</t>
  </si>
  <si>
    <t>в том числе по транспортным средствам:</t>
  </si>
  <si>
    <t>Водный налог</t>
  </si>
  <si>
    <t>в том числе по объектам</t>
  </si>
  <si>
    <t>4. Расчет (обоснование) расходов на безвозмездные перечисления организациям</t>
  </si>
  <si>
    <t>Общая сумма выплат, руб. (гр. 3х гр. 4)</t>
  </si>
  <si>
    <t>5. Расчет (обоснование) прочих расходов (кроме расходов на закупку товаров, работ, услуг)</t>
  </si>
  <si>
    <t>Выплата стипендий учащимся, студентам, аспирантам, ученым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</si>
  <si>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</si>
  <si>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</si>
  <si>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</si>
  <si>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еденицу, руб.</t>
  </si>
  <si>
    <t>Сумма, руб. (гр. 3 х гр. 4 х гр.5)</t>
  </si>
  <si>
    <t>Абоненская плата за номер</t>
  </si>
  <si>
    <t>Повременная оплата междугородных, международных и местных телефонных соединений</t>
  </si>
  <si>
    <t>Оплата сотовой связи по тарифам</t>
  </si>
  <si>
    <t>Пересылка почтовой корреспонденции с использованием франкировальной машины</t>
  </si>
  <si>
    <t>Услуги фельдъегерской и специальной связи</t>
  </si>
  <si>
    <t>Услуги интернет-провайдеров</t>
  </si>
  <si>
    <t>Услуги электронной почты (электронный адрес)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</si>
  <si>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</si>
  <si>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</si>
  <si>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</si>
  <si>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</si>
  <si>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 3 х гр. 4 )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</si>
  <si>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</si>
  <si>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</si>
  <si>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6.3.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</si>
  <si>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</si>
  <si>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</si>
  <si>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Индексация,%</t>
  </si>
  <si>
    <t>Сумма, руб. (гр. 3 х гр. 4 х гр.5 )</t>
  </si>
  <si>
    <t>Электроснабжение, всего</t>
  </si>
  <si>
    <t>в том числе по объектам:</t>
  </si>
  <si>
    <t>Теплоснабжение</t>
  </si>
  <si>
    <t>Горячее водоснабжение, всего</t>
  </si>
  <si>
    <t>Водоотведение, всего</t>
  </si>
  <si>
    <t>6.4. Расчет (обоснование) расходов на оплату аренды имущества</t>
  </si>
  <si>
    <t>Количество</t>
  </si>
  <si>
    <t>Ставка арендной платы</t>
  </si>
  <si>
    <t>Источник финансового обеспечения________________________________________________________</t>
  </si>
  <si>
    <t>Стоимость с учетом НДС, руб.</t>
  </si>
  <si>
    <t>Аренда недвижимого имущества</t>
  </si>
  <si>
    <t xml:space="preserve">Аренда движемого имущества </t>
  </si>
  <si>
    <t>Объект</t>
  </si>
  <si>
    <t>Количество работ (услуг)</t>
  </si>
  <si>
    <t>Стоимость работ (услуг), руб.</t>
  </si>
  <si>
    <t>Содержание объектов недвижимого имущества в чистоте</t>
  </si>
  <si>
    <t>в том числе:                                                                 уборка снега, мусора</t>
  </si>
  <si>
    <t>вывоз снега, мусора, твердых бытовых и промышленных отходов</t>
  </si>
  <si>
    <t>дезинфекция, дезинсекция, дератизация, газация</t>
  </si>
  <si>
    <t>санитарно-гигиеническое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</si>
  <si>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</si>
  <si>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в том числе:                                                                       мойка и чистка (химчистка) имущества (транспорта и т.д.)</t>
  </si>
  <si>
    <t>прачечные услуги</t>
  </si>
  <si>
    <t>Ремонт (текущий и капитальный) имущества</t>
  </si>
  <si>
    <t>в том числе:                                                                       устранение неисправностей (восстановление работоспособности) объектов имущества</t>
  </si>
  <si>
    <t>поддержание технико-экономических и эксплуатационных показателей объектов имущества</t>
  </si>
  <si>
    <t>4.</t>
  </si>
  <si>
    <t>Противопожарные мероприятия, связанные с содержанием имущества</t>
  </si>
  <si>
    <t>6.5. Расчет (обоснование) расходов на оплату работ, услуг по содержанию имущества</t>
  </si>
  <si>
    <t>Количество договоров</t>
  </si>
  <si>
    <t>Стоимость услуг, руб.</t>
  </si>
  <si>
    <t>Оплата услуг на страхование гражданской ответственности владельцев транспортных средств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</si>
  <si>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</si>
  <si>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</si>
  <si>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в том числе:                                                                                         приобретение (обновление) программного обеспечения</t>
  </si>
  <si>
    <t>6.6. Расчет (обоснование) расходов на оплату прочих работ, услуг</t>
  </si>
  <si>
    <t>6.7. Расчет (обоснование) расходов на приобретение основных средств</t>
  </si>
  <si>
    <t>Средняя стоимость, руб.</t>
  </si>
  <si>
    <t>Сумма, руб. (гр. 2 х гр. 3)</t>
  </si>
  <si>
    <t>Приобретение основных средств</t>
  </si>
  <si>
    <t>в том числе по группам объектов:</t>
  </si>
  <si>
    <t>6.8. Расчет (обоснование) расходов на приобретение материальных запасов</t>
  </si>
  <si>
    <t>Единица измерения</t>
  </si>
  <si>
    <t>Цена за единицу, руб.</t>
  </si>
  <si>
    <t>Сумма, руб. (гр. 4 х гр. 5)</t>
  </si>
  <si>
    <t>Приобретение материалов</t>
  </si>
  <si>
    <t>в том числе по группам материалов:</t>
  </si>
  <si>
    <t>Услуги телефонно-телеграфной, факсимильной, пейджинговой связи, радиосвязи</t>
  </si>
  <si>
    <t>Расходы (обоснования) к плану финансово-хозяйственной деятельности государственного  учреждения</t>
  </si>
  <si>
    <t>Источник финансового обеспечения__________________________________Областной бюджет_________________________________________________</t>
  </si>
  <si>
    <t>Источник финансового обеспечения_________Иная приносящая доход деятельность_________________________________________________________________</t>
  </si>
  <si>
    <t>Административно-управленческий персонал</t>
  </si>
  <si>
    <t>Основной Педагогический персонал,осуществляющий учебный процесс (по Указам)</t>
  </si>
  <si>
    <t>Педагогический персонал  (не осуществляющий учебный процесс), не входящий в Указ</t>
  </si>
  <si>
    <t>Учебно-вспомогательный персонал</t>
  </si>
  <si>
    <t>Обслуживающий персонал</t>
  </si>
  <si>
    <t>Кредиторская задолженность на начало года</t>
  </si>
  <si>
    <t>Аутсорсинг</t>
  </si>
  <si>
    <t>Источник финансового обеспечения___Иная приносящая доход деятельность__________</t>
  </si>
  <si>
    <r>
      <t xml:space="preserve">Свободные лимиты по </t>
    </r>
    <r>
      <rPr>
        <b/>
        <sz val="14"/>
        <color indexed="10"/>
        <rFont val="Times New Roman"/>
        <family val="1"/>
      </rPr>
      <t>211 ЭКР</t>
    </r>
    <r>
      <rPr>
        <b/>
        <sz val="14"/>
        <color indexed="8"/>
        <rFont val="Times New Roman"/>
        <family val="1"/>
      </rPr>
      <t xml:space="preserve">  для передвижки на другие статьи расходов </t>
    </r>
  </si>
  <si>
    <t>Итого с учетом кредиторской задолженности:</t>
  </si>
  <si>
    <t>Педагогический персонал  (не осуществляющий учебный процесс), не входящий в Указ Президента РФ</t>
  </si>
  <si>
    <t>в том числе резерв отпусков</t>
  </si>
  <si>
    <t>из госзадания</t>
  </si>
  <si>
    <t>пред год</t>
  </si>
  <si>
    <t>плановый год</t>
  </si>
  <si>
    <t>в т.ч. Коррек</t>
  </si>
  <si>
    <t>УТВЕРЖДЕНО:</t>
  </si>
  <si>
    <t>всего приведенный контингент для Производительности труда</t>
  </si>
  <si>
    <t>Приказом учреждения</t>
  </si>
  <si>
    <t xml:space="preserve">Дневное отделение - </t>
  </si>
  <si>
    <t xml:space="preserve">дневное отделение НПО - </t>
  </si>
  <si>
    <t>от "___ "_____________ 20__ г. № ____</t>
  </si>
  <si>
    <t xml:space="preserve">дневное отделение СПО - </t>
  </si>
  <si>
    <t>Директор                                                                                  (Расшифровка подписи ФИО директора)</t>
  </si>
  <si>
    <t xml:space="preserve">Заочное отделение СПО- </t>
  </si>
  <si>
    <t>2. Штатное расписание______________________________________________</t>
  </si>
  <si>
    <t>Штат в количестве</t>
  </si>
  <si>
    <t>единиц</t>
  </si>
  <si>
    <t xml:space="preserve">Заочное отделение НПО- </t>
  </si>
  <si>
    <t>№      п/п</t>
  </si>
  <si>
    <t>Наименование должности</t>
  </si>
  <si>
    <t>Количество штатных единиц</t>
  </si>
  <si>
    <t>Наименование  ПКГ</t>
  </si>
  <si>
    <t>Квалификационный уровень ПКГ</t>
  </si>
  <si>
    <t>Ставка, оклад по ПКГ , рублей</t>
  </si>
  <si>
    <t>Размер повышающего коэффициента к окладу (должностному окладу), ставке заработной платы по занимаемой должности      ( К1), рублей</t>
  </si>
  <si>
    <t>Размер повышающего коэффициента к окладу (должностному окладу), ставке заработной платы за работу на селе (Кс=1,25), рублей</t>
  </si>
  <si>
    <t>Ставка,оклад с учетом К1 и Кс     9гр.=6рг.х7гр.х8гр.     рублей</t>
  </si>
  <si>
    <t>Размер повышающего коэффициента к окладу (должностному окладу), ставке заработной платы</t>
  </si>
  <si>
    <t xml:space="preserve"> Размер оклада(должностного оклада) ставка заработной платы с учетом повышающих коэффициентов (К1, Кс,К2,К3), рублей 14гр.=(9гр.+11гр.+13гр)</t>
  </si>
  <si>
    <t>Размер персонального повышающего коэффициента к окладу(должностному окладу), ставке заработной платы (К4)</t>
  </si>
  <si>
    <t>Итого размер оклада(должностного оклада) ставка заработной платы с учетом повышающего персонального коэффициента, рублей 17гр.=(14гр.+16гр.)</t>
  </si>
  <si>
    <t>Компенсационный выплаты установленные трудовым законодательством и за внеаудиторную занятость, рублей</t>
  </si>
  <si>
    <t>Районный коэффициент, рублей</t>
  </si>
  <si>
    <t>Итого в месяц, рублей              31 гр. =(17гр.+29гр.+30гр)</t>
  </si>
  <si>
    <t>Ф.И.О.</t>
  </si>
  <si>
    <t xml:space="preserve"> за специфику учреждения (К2)</t>
  </si>
  <si>
    <t xml:space="preserve"> за ученую степень, почетное звание(К3)</t>
  </si>
  <si>
    <t>Вредность (при наличии аттестации), рублей</t>
  </si>
  <si>
    <t>Ночные, вечерние, рублей</t>
  </si>
  <si>
    <t>Праздничные, рублей</t>
  </si>
  <si>
    <t>Проверка тетрадей, рублей</t>
  </si>
  <si>
    <t>Заведование кабинетом, лабораторией, рублей</t>
  </si>
  <si>
    <t>Классное руководство, рублей</t>
  </si>
  <si>
    <t>Прочие, руб</t>
  </si>
  <si>
    <t>Итого компенсационных выплат, рублей      99гр. =(19гр.+20гр.+21гр.+23гр.+25гр.+27гр.+28гр.)</t>
  </si>
  <si>
    <t>размер, (в долях от 1)</t>
  </si>
  <si>
    <t>сумма, рублей</t>
  </si>
  <si>
    <t>размер(в долях от 1)</t>
  </si>
  <si>
    <t>размер,%</t>
  </si>
  <si>
    <t>сумма</t>
  </si>
  <si>
    <t xml:space="preserve">размер, </t>
  </si>
  <si>
    <t>сумма, руб (формула проставляеться самостоятельно)</t>
  </si>
  <si>
    <t>размер</t>
  </si>
  <si>
    <t>Директор</t>
  </si>
  <si>
    <t>"--//--"</t>
  </si>
  <si>
    <t>Всего:</t>
  </si>
  <si>
    <t>1. Исходные данные</t>
  </si>
  <si>
    <t>4. Итого уточненные данные в ПФХД (сравнение с целями)</t>
  </si>
  <si>
    <t>В год</t>
  </si>
  <si>
    <t>в месяц</t>
  </si>
  <si>
    <t>1. Производительность труда по ГЗ</t>
  </si>
  <si>
    <t>1.1.темп роста приведенного контингента к прошлому году</t>
  </si>
  <si>
    <t>%</t>
  </si>
  <si>
    <t>1.2.Численность основного персонала по производительности труда</t>
  </si>
  <si>
    <t>чел</t>
  </si>
  <si>
    <t>3. Распределение планового фонда заработной платы бюджет</t>
  </si>
  <si>
    <t xml:space="preserve">5. распределение лимитов ФЗП  по бюджету по месяцам года пропорционально начислениям  в текущем году </t>
  </si>
  <si>
    <t>1.3.ФОТ всего (бюджет+внебюджет)</t>
  </si>
  <si>
    <t>ФЗП тариф основ.педаг. Работников (по Указу) в  месяц по штатн распис бюджет (с р.к.)</t>
  </si>
  <si>
    <t>ФЗП компен основных педаг работников (по Указу) мес по штатному расписан бюджет(с р.к.)</t>
  </si>
  <si>
    <t>ФЗП тариф прочих педаг (без Указа) в месяц по штат расп бюджет(с р.к.)</t>
  </si>
  <si>
    <t>ФЗП компен прочих педаг (без Указа) в месяц по штатн распис бюджет(с р.к.)</t>
  </si>
  <si>
    <t>ФЗП тариф прочего персонала в  месяц (с р.к.)</t>
  </si>
  <si>
    <t>ФЗП компен прочего персонала в мес по штатн распис бюджет (с р.к.)</t>
  </si>
  <si>
    <t>доля премии по итогам работы в фонде стимулирования, не менее 60%</t>
  </si>
  <si>
    <t>максим расходы на премию за качество для  педаг.персонала в  месяц, с р.к., руб (по приказам)</t>
  </si>
  <si>
    <t>максим расходы на премию за качество для  прочего персонала в  месяц, с р.к., руб (по приказам)</t>
  </si>
  <si>
    <t>макс расходы на премию за стаж работы для педагог.персонала в месяц, с р.к.,руб (по приказам)</t>
  </si>
  <si>
    <t>макс расходы на премию за стаж работы для прочего персонала в месяц, с р.к.,руб (по приказам)</t>
  </si>
  <si>
    <t>доля разовых премий и Матпомощи  (без р.к., т.к. не начисляется), не более 5%,</t>
  </si>
  <si>
    <t>январь</t>
  </si>
  <si>
    <t>февраль</t>
  </si>
  <si>
    <t>март</t>
  </si>
  <si>
    <t>Итого 1 квартал</t>
  </si>
  <si>
    <t>апрель</t>
  </si>
  <si>
    <t>май</t>
  </si>
  <si>
    <t>июнь</t>
  </si>
  <si>
    <t>Итого 2 квартал</t>
  </si>
  <si>
    <t>итого 1 полугодие</t>
  </si>
  <si>
    <t>июль</t>
  </si>
  <si>
    <t>август</t>
  </si>
  <si>
    <t>сентябрь</t>
  </si>
  <si>
    <t>Итого 3квартал</t>
  </si>
  <si>
    <t>итого 9 месяцев</t>
  </si>
  <si>
    <t>октябрь</t>
  </si>
  <si>
    <t>ноябрь</t>
  </si>
  <si>
    <t>декабрь</t>
  </si>
  <si>
    <t>Итого 4 квартал</t>
  </si>
  <si>
    <t>итого год, (равно данным раздела 3 х 12 мес)</t>
  </si>
  <si>
    <t>К</t>
  </si>
  <si>
    <t>ФЗП 1 кал.дня всех работников, руб</t>
  </si>
  <si>
    <t>1.4.расходы ФОТ по внебюджету, по 211 экр (без  2 ст)</t>
  </si>
  <si>
    <t>5.1. число календ.дн. б/праз, с выходными, 5-дневка (для всех единый)-уточняем по календарю 2017</t>
  </si>
  <si>
    <t>1.5.ФОТ по нормативу (без 2 ст) бюджет 211. год</t>
  </si>
  <si>
    <t>тыс.руб.</t>
  </si>
  <si>
    <t>(корректируем формулу, если прочие педагоги входят в основной персонал)</t>
  </si>
  <si>
    <t>(если прочие педагоги входят в основной персонал, то значение ноль)</t>
  </si>
  <si>
    <t>плановая Доля</t>
  </si>
  <si>
    <t>ФОТ основных педагогов (по Указу)</t>
  </si>
  <si>
    <t>ФОТ проч педагог (вне указа)</t>
  </si>
  <si>
    <t>ФОТ педагогов всего</t>
  </si>
  <si>
    <t>Фот прочего перс</t>
  </si>
  <si>
    <t>Итого ФОТ распред</t>
  </si>
  <si>
    <t>(+)излишек, (-)недост ФЗП на аутсорсинг</t>
  </si>
  <si>
    <t xml:space="preserve"> всего лимиты</t>
  </si>
  <si>
    <t>5.16. Раздел педагоги. Фактическое начисл ФЗП по году с резервом (+1/12 рез )</t>
  </si>
  <si>
    <t>1.6.расходы из ФОТ нормативного на госуслугу на аутсорсинг (без 2 ст)</t>
  </si>
  <si>
    <t>из данных р.1</t>
  </si>
  <si>
    <t xml:space="preserve">1.Тарифная часть с районным коэффициентом </t>
  </si>
  <si>
    <t>5.5. ФОТ тариф педагогов с рк (раздел 3 стр.1), распределен пропорц раб.дням</t>
  </si>
  <si>
    <t>1.7.расходы на аутсорсинг (за счет иных источников финансового обеспечения)</t>
  </si>
  <si>
    <t>2.Компенсационные выплаты с районным коэффициентом</t>
  </si>
  <si>
    <t>5.6. ФОТ комп с рк педаг, распред пропорц раб дням</t>
  </si>
  <si>
    <t>1.8.Сальдо расчетов по зарплате на 01.01.-211 ЭКР (+кредитор.задол;- дебитор.зад.)за счет  бюджета</t>
  </si>
  <si>
    <t>доп.лим. на кредиторку из р.3</t>
  </si>
  <si>
    <t>3.Базовая часть фонда оплаты труда с р.к.(17гр+29гр)</t>
  </si>
  <si>
    <t>5.7. итого базовая с рк</t>
  </si>
  <si>
    <t>1.9.Сальдо расчетов по зарплате на 01.01.-211 ЭКР (+кредитор.задол;- дебитор.зад.)за счет  внебюджета</t>
  </si>
  <si>
    <t>доп.лим. на кредиторку</t>
  </si>
  <si>
    <t>????</t>
  </si>
  <si>
    <t>4.ФОТ резерв  отпускных (из раздела1)</t>
  </si>
  <si>
    <t>% базовой</t>
  </si>
  <si>
    <t>1.10.передвижка свободных лимитов по 211 ЭКР на другие статьи расхода по смете</t>
  </si>
  <si>
    <t>передв.лим. на др.ЭКР из р.3</t>
  </si>
  <si>
    <r>
      <rPr>
        <b/>
        <sz val="14"/>
        <rFont val="Arial"/>
        <family val="2"/>
      </rPr>
      <t>5.</t>
    </r>
    <r>
      <rPr>
        <b/>
        <sz val="11"/>
        <rFont val="Arial"/>
        <family val="2"/>
      </rPr>
      <t>Стимулирующая часть с районным коэффициентом-предварительное распределение (ФОТ всего (раздел1) -ФОТ базов  (п.3)-ФОТ резерв(п.4)</t>
    </r>
  </si>
  <si>
    <t>5.2. График ухода в  отпуск педагогов , с указанием дней отпусков в месяце, чел-дни ( равен разд 1 стр. 1.28) по табелю рабочего времени</t>
  </si>
  <si>
    <t>1.12.лимит ФЗП  бюджет (с кредитор)- всего</t>
  </si>
  <si>
    <t>всего (стр 1,13+1,8)</t>
  </si>
  <si>
    <t>контроль лишний ФОТ, возможно к уменьшению за счет внебюджета( тыс.руб. в год)</t>
  </si>
  <si>
    <t>5.1.% доля ФОТ стим к ФОТ тариф части</t>
  </si>
  <si>
    <t>5.2.1. График ухода в  отпуск педагогов , с указанием дней отпуска в момент ухода, чел-дни ( равен разд 1 стр. 1.28)для начисления отпускных</t>
  </si>
  <si>
    <t xml:space="preserve">1.13.в т.ч. лимит по ФЗП  </t>
  </si>
  <si>
    <t>из р.3 стр 5.12</t>
  </si>
  <si>
    <t>5.2.премии по итогам работы, не менее 60% (п.5 х долю премии в ФОТ стим.)</t>
  </si>
  <si>
    <t>5.3. дни отпус на 1 педаг (Числ по ПТ) стр5.2.1./стр1.22</t>
  </si>
  <si>
    <t>рапределение по графику дней отпуска педагогов</t>
  </si>
  <si>
    <t xml:space="preserve">Зам.директора </t>
  </si>
  <si>
    <t>велущий специалист</t>
  </si>
  <si>
    <t>февраль 0,1; март 0,4;июнь10 дней; июль31; август 14,5, итого 56</t>
  </si>
  <si>
    <t>1.14.Целев ЗП с внеб (преп+маст) по ГосЗаданию</t>
  </si>
  <si>
    <t>5.7. принято в распред прем по итогам, не менее 60%</t>
  </si>
  <si>
    <t>5.4. Начислен  резерв отпускных педаг. Равномерно 1/12 часть(стр 5,3х стр.1,34)</t>
  </si>
  <si>
    <t>1.15.доля внебюджета в ЗП</t>
  </si>
  <si>
    <t>5.6. за интенсивность (за разницей п.5-5.2-5.3-5.4-5.5)</t>
  </si>
  <si>
    <t>.% резерва</t>
  </si>
  <si>
    <t>1.16.Цел ЗП основ педаг персонала (по указу) по бюджету</t>
  </si>
  <si>
    <t>руб/мес</t>
  </si>
  <si>
    <t>5.4.за качество (по факту из приказов)</t>
  </si>
  <si>
    <t>5.8. Начисление фактических  отпускных  педагогов за все дни,за счет резерва , итог равен резерву (стр.5.2. х стоимость 1 ч-д графа АТ)</t>
  </si>
  <si>
    <t>1.17.доля ФОТ прочего в общем фонде по Госзаданию</t>
  </si>
  <si>
    <t>план по ГЗ/ факт по 1-му вар. Распределения фот,%</t>
  </si>
  <si>
    <t>5.5.  за стаж (по факту из приказов)</t>
  </si>
  <si>
    <t>5.15. стимулир с рк-всего</t>
  </si>
  <si>
    <t>1.18.факт ЗП проч педперсон, на уровне прошлого года , за вычетом доли из внебюджета</t>
  </si>
  <si>
    <t>5.3. разовые выплаты и МП (п.5 х долю МП в ФОТ стим.)</t>
  </si>
  <si>
    <t>% стимулир</t>
  </si>
  <si>
    <t>1.19.численность работников всего</t>
  </si>
  <si>
    <t>сокращение штата персонала</t>
  </si>
  <si>
    <t>5.8. принят в распределение прочие выплаты и МП (не более 5%)</t>
  </si>
  <si>
    <t>5.9. Число отработ календ дней педагогами за предыдущий премиальн период(в расчете  на 1 работн ) 1полуг-июль-декабрь;2полуг-янв-июнь</t>
  </si>
  <si>
    <t>январь-июнь- получают за июль-декабрь предыдущег года</t>
  </si>
  <si>
    <t xml:space="preserve">1 полугодие календарь-дни отпуска на 1 педагога по графику:июль-31-31отп=0; авг 31-14,5 отп=16,5; сент-30; отк 31; нояб-30; дек31, итого138,5 дн </t>
  </si>
  <si>
    <t>2 полугодие- с января по июль- январь24; февраль27-0,1=26,9; март 29-0,4=28,6; апрель30; май27, июнь29-10отп=19, итого 155,5</t>
  </si>
  <si>
    <t>всего 138,5+155,5=294 дней по году</t>
  </si>
  <si>
    <t>1.20.фактическая численность основного педагогического персонала (по Указам Президента)</t>
  </si>
  <si>
    <t>сокращение штата педперсонала</t>
  </si>
  <si>
    <t>5.1. Итого ФОТ, цел ЗП осн.педперсон х Ч факт осн.перс(раздел1);цел. ПТ; ЗП прочего персонала-как разница между лимитом и ФОТ  педперсон, план лим ФОТ=ФОТ норм-ФОТаутсорсинг</t>
  </si>
  <si>
    <t>5.10. по итогам работы с рк (пропор.отраб.раб.дням стр 5.9. и стоимости 1 дня -графа АТ)</t>
  </si>
  <si>
    <t>1.21.фактическая численность прочих педагогов, не входящих в Указ</t>
  </si>
  <si>
    <t>5.9.расчетная плановая  ЗП (первое значение)</t>
  </si>
  <si>
    <t>%  по итогам</t>
  </si>
  <si>
    <t>1.22.итого педагоги</t>
  </si>
  <si>
    <t xml:space="preserve">5.10 темп роста плановой ЗП (п.5.9.) к целевому значению (раздел1) </t>
  </si>
  <si>
    <t>5.11.1. Число факт отработ в месяце календ дней педагогами (в расчете  на 1 работн )</t>
  </si>
  <si>
    <t>1.23.фактическая численность  прочего персонала</t>
  </si>
  <si>
    <t>сокращение штата прочего персонала</t>
  </si>
  <si>
    <t xml:space="preserve">5.11. ФОТ с выполнением  целевой ЗП (раздел1), целевой долей прочего перс (раздел1),  в пределах  фонда по нормативу </t>
  </si>
  <si>
    <t>5.11.интенсивность с рк (пропорц числу раб дней стр.5.11.1 и стоим 1 дня граф АТ)</t>
  </si>
  <si>
    <t>1.24.численность персонала, предполагаемая к переводу в аутсорсинг в планируемом году</t>
  </si>
  <si>
    <t xml:space="preserve">5.12 ФОТ итого с выполнением  целевой ЗП (раздел1),целевой  долей прочего перс (раздел1), </t>
  </si>
  <si>
    <t>% интенс</t>
  </si>
  <si>
    <t>1.25.итого численность прочего персонала (за выч. Переводимого в аутсорс)</t>
  </si>
  <si>
    <t>5.13.  расчетная плановая ЗП (второе значение), при сохранении прочего контингента</t>
  </si>
  <si>
    <t>5.12. за качество с рк (пропорц числу раб дней стр.5.11 и стоим 1 дня граф АТ</t>
  </si>
  <si>
    <t>1,26.</t>
  </si>
  <si>
    <t xml:space="preserve">5.14. темп роста к цели </t>
  </si>
  <si>
    <t>% качеcтво</t>
  </si>
  <si>
    <t>1,27чел-дни отпуска всего персонала по графику отпускных в планируемом году</t>
  </si>
  <si>
    <t>чел-дни</t>
  </si>
  <si>
    <t>5.15. Установление плановой  численности прочего персонала для выполнения доли ФОТ прочего и  сохранения ЗП прочего персонала</t>
  </si>
  <si>
    <t>5.13.за стаж с рк (пропорц числу раб дней стр.5.11 и стоим 1 дня граф АТ)</t>
  </si>
  <si>
    <t xml:space="preserve">1,28.в т.ч. чел-дни отпуска всех педагогических работников </t>
  </si>
  <si>
    <t>5.16. Дополнительное Сокращение численности прочего персонала (-сокращение; +ввод)</t>
  </si>
  <si>
    <t>% стаж</t>
  </si>
  <si>
    <t>1,29.чел-дни отпуска прочего персонала</t>
  </si>
  <si>
    <t>5.17. Итого плановое значение ЗП с учетом целевой ЗП, доли ФОТ и Ч прочего персонала</t>
  </si>
  <si>
    <t>5.14. разов и МП (без рк) (пропорц числу раб дней стр.5.11 и стоим 1 дня граф АТ)</t>
  </si>
  <si>
    <t>1,30.стоимость 1 чел-дня всего перс</t>
  </si>
  <si>
    <t>руб/день</t>
  </si>
  <si>
    <t xml:space="preserve">5.18.  темп роста плановой ЗП (п.5.17.) к целевому значению (раздел1) </t>
  </si>
  <si>
    <t>%разов и МП</t>
  </si>
  <si>
    <t>1,.31.стоимость 1 чел-дня педагогов</t>
  </si>
  <si>
    <t>5.19.ОкончательноеРаспредление Стимулирующая часть с районным коэффициентом (п.5.12-п.3 базов-п.4 резерв)</t>
  </si>
  <si>
    <t>5.17. ФЗП  кассовые выплаты педагогам по году в ПФХД (начисл за раб.дни +отпускные)</t>
  </si>
  <si>
    <t>1,32,Стоимость 1 чел-дня прочих</t>
  </si>
  <si>
    <t>% стим к тариф части</t>
  </si>
  <si>
    <t>сред. ЗП педагогов по начисл ФОТ с отп.</t>
  </si>
  <si>
    <t>1,33.ФОТ резерв  всего перс</t>
  </si>
  <si>
    <t>5.20.премии по итогам работы, не менее 60% (п.5.19 х60% и более)</t>
  </si>
  <si>
    <t>%  к установленной целевой зарплате с внебюджетом</t>
  </si>
  <si>
    <t>1,34,ФОТ резерв  педагогов</t>
  </si>
  <si>
    <t>5.20. принято в распред прем по итогам</t>
  </si>
  <si>
    <t xml:space="preserve">5.30. Раздел прочий персонал-лимит в ПФХД </t>
  </si>
  <si>
    <t>1,35,ФОТ резерв прочих</t>
  </si>
  <si>
    <t>5.24.за интенсивность (разность всего Ф стим- все выплаты)</t>
  </si>
  <si>
    <t>5.21. тарифная часть прочего персона  с рк</t>
  </si>
  <si>
    <t>1,36,исло дней отпуска на 1 работника</t>
  </si>
  <si>
    <t>% роста сред ЗП к цели или прошлому году</t>
  </si>
  <si>
    <t>Контроль</t>
  </si>
  <si>
    <t>Районный коэффициент (по категор пропорц доле р.к. в ФОТ)</t>
  </si>
  <si>
    <t>по выплатам стимулирующего характера (ФОТ-все выплаты)</t>
  </si>
  <si>
    <t>Плановый Среднемесячный размер оплаты труда на одного работника (целевое значение), руб.</t>
  </si>
  <si>
    <t>Среднемесячный размер оплаты труда на одного работника- факт прошлого года, руб.</t>
  </si>
  <si>
    <t>Муниципальное бюджетное учереждение дошкольного образования "Ижморская Детско-юношеская спортивная школа"</t>
  </si>
  <si>
    <t>ИНН / КПП 4233001741/424601001</t>
  </si>
  <si>
    <t>Управление образованием администрации Ижморского муниципального района Кемеровской области</t>
  </si>
  <si>
    <t>652120, Россия, Кемеровская облать, Ижморский муниципальный район, пгт. Ижморский, улю Стадионная, д14.</t>
  </si>
  <si>
    <t>Смороков Аркадий Николаевич Директор</t>
  </si>
  <si>
    <t>на 01 января 20 19г.</t>
  </si>
  <si>
    <t>из них: недвижимое имущество, всего:</t>
  </si>
  <si>
    <t>в том числе: остаточная стоимость</t>
  </si>
  <si>
    <t>Финансовые активы:</t>
  </si>
  <si>
    <t>на 01 января2019 г.</t>
  </si>
  <si>
    <t>в том числе: доходы от собственности</t>
  </si>
  <si>
    <t>бюджетное финансирование</t>
  </si>
  <si>
    <t>на 2018г. очередной финансовый год</t>
  </si>
  <si>
    <t xml:space="preserve"> </t>
  </si>
  <si>
    <t>Источник финансового обеспечения: Управление образованием администрации Ижорского муниципального района Кемеровской области</t>
  </si>
  <si>
    <t>директор</t>
  </si>
  <si>
    <t>зам.директора</t>
  </si>
  <si>
    <t>зам.директора по БЖ</t>
  </si>
  <si>
    <t>завхоз</t>
  </si>
  <si>
    <t>администратор</t>
  </si>
  <si>
    <t>механик</t>
  </si>
  <si>
    <t>ГСМ</t>
  </si>
  <si>
    <t>Хозяйственные, канцелярские товары</t>
  </si>
  <si>
    <t>прочие</t>
  </si>
  <si>
    <t xml:space="preserve">на 2019  год  и на плановый период   2020 и   2021 годов </t>
  </si>
  <si>
    <t>на январь 2019 г.</t>
  </si>
  <si>
    <t>на январь  2019г.</t>
  </si>
  <si>
    <t>запасные части</t>
  </si>
  <si>
    <t>медикаменты</t>
  </si>
  <si>
    <t xml:space="preserve">вода холодная </t>
  </si>
  <si>
    <t>Источник финансового обеспечения________________________</t>
  </si>
  <si>
    <t>спонсорская помощь</t>
  </si>
  <si>
    <t>на 2018\2019 учебный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</si>
</sst>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0.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11"/>
      <color indexed="6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9"/>
      <name val="Times New Roman"/>
      <family val="1"/>
    </font>
    <font>
      <sz val="12"/>
      <color indexed="30"/>
      <name val="Arial"/>
      <family val="2"/>
    </font>
    <font>
      <i/>
      <sz val="9"/>
      <color indexed="60"/>
      <name val="Arial"/>
      <family val="2"/>
    </font>
    <font>
      <b/>
      <sz val="12"/>
      <color indexed="30"/>
      <name val="Times New Roman"/>
      <family val="1"/>
    </font>
    <font>
      <b/>
      <u val="single"/>
      <sz val="12"/>
      <name val="Arial"/>
      <family val="2"/>
    </font>
    <font>
      <b/>
      <sz val="11"/>
      <name val="Times New Roman"/>
      <family val="1"/>
    </font>
    <font>
      <b/>
      <i/>
      <sz val="12"/>
      <color indexed="30"/>
      <name val="Arial"/>
      <family val="2"/>
    </font>
    <font>
      <b/>
      <sz val="9"/>
      <color indexed="3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color indexed="60"/>
      <name val="Arial"/>
      <family val="2"/>
    </font>
    <font>
      <b/>
      <sz val="14"/>
      <color indexed="3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indexed="18"/>
      <name val="Times New Roman"/>
      <family val="1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30"/>
      <name val="Arial"/>
      <family val="2"/>
    </font>
    <font>
      <b/>
      <sz val="12"/>
      <color indexed="60"/>
      <name val="Arial"/>
      <family val="2"/>
    </font>
    <font>
      <sz val="14"/>
      <color indexed="30"/>
      <name val="Arial"/>
      <family val="2"/>
    </font>
    <font>
      <b/>
      <i/>
      <sz val="12"/>
      <name val="Arial"/>
      <family val="2"/>
    </font>
    <font>
      <b/>
      <sz val="12"/>
      <color indexed="18"/>
      <name val="Times New Roman"/>
      <family val="1"/>
    </font>
    <font>
      <sz val="11"/>
      <color indexed="30"/>
      <name val="Arial"/>
      <family val="2"/>
    </font>
    <font>
      <sz val="10"/>
      <color indexed="30"/>
      <name val="Arial"/>
      <family val="2"/>
    </font>
    <font>
      <b/>
      <sz val="14"/>
      <color indexed="30"/>
      <name val="Times New Roman"/>
      <family val="1"/>
    </font>
    <font>
      <sz val="10"/>
      <color indexed="60"/>
      <name val="Arial"/>
      <family val="2"/>
    </font>
    <font>
      <b/>
      <sz val="16"/>
      <color indexed="60"/>
      <name val="Arial"/>
      <family val="2"/>
    </font>
    <font>
      <b/>
      <sz val="14"/>
      <color indexed="60"/>
      <name val="Arial"/>
      <family val="2"/>
    </font>
    <font>
      <b/>
      <sz val="14"/>
      <color indexed="56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2"/>
      <color indexed="60"/>
      <name val="Arial"/>
      <family val="2"/>
    </font>
    <font>
      <b/>
      <sz val="14"/>
      <color indexed="18"/>
      <name val="Arial"/>
      <family val="2"/>
    </font>
    <font>
      <sz val="14"/>
      <color indexed="60"/>
      <name val="Arial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1" applyNumberFormat="0" applyAlignment="0" applyProtection="0"/>
    <xf numFmtId="0" fontId="102" fillId="27" borderId="2" applyNumberFormat="0" applyAlignment="0" applyProtection="0"/>
    <xf numFmtId="0" fontId="10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28" borderId="7" applyNumberFormat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30" borderId="0" applyNumberFormat="0" applyBorder="0" applyAlignment="0" applyProtection="0"/>
    <xf numFmtId="0" fontId="11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5" fillId="32" borderId="0" applyNumberFormat="0" applyBorder="0" applyAlignment="0" applyProtection="0"/>
  </cellStyleXfs>
  <cellXfs count="83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left" wrapText="1"/>
    </xf>
    <xf numFmtId="16" fontId="0" fillId="0" borderId="10" xfId="0" applyNumberFormat="1" applyBorder="1" applyAlignment="1">
      <alignment horizontal="center" wrapText="1"/>
    </xf>
    <xf numFmtId="1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172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9" fontId="6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 wrapText="1"/>
    </xf>
    <xf numFmtId="172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172" fontId="12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2" fillId="0" borderId="14" xfId="0" applyFont="1" applyBorder="1" applyAlignment="1">
      <alignment horizontal="right" wrapText="1"/>
    </xf>
    <xf numFmtId="0" fontId="12" fillId="0" borderId="15" xfId="0" applyFont="1" applyBorder="1" applyAlignment="1">
      <alignment horizontal="right" wrapText="1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center" vertical="justify" wrapText="1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justify" wrapText="1"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73" fontId="13" fillId="0" borderId="16" xfId="0" applyNumberFormat="1" applyFont="1" applyFill="1" applyBorder="1" applyAlignment="1" applyProtection="1">
      <alignment horizontal="center"/>
      <protection/>
    </xf>
    <xf numFmtId="173" fontId="14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 vertical="justify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justify" wrapText="1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/>
      <protection/>
    </xf>
    <xf numFmtId="0" fontId="13" fillId="34" borderId="10" xfId="0" applyFont="1" applyFill="1" applyBorder="1" applyAlignment="1" applyProtection="1">
      <alignment wrapText="1"/>
      <protection/>
    </xf>
    <xf numFmtId="2" fontId="0" fillId="34" borderId="10" xfId="0" applyNumberFormat="1" applyFill="1" applyBorder="1" applyAlignment="1" applyProtection="1">
      <alignment/>
      <protection/>
    </xf>
    <xf numFmtId="0" fontId="15" fillId="34" borderId="10" xfId="0" applyFont="1" applyFill="1" applyBorder="1" applyAlignment="1" applyProtection="1">
      <alignment/>
      <protection/>
    </xf>
    <xf numFmtId="0" fontId="14" fillId="34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 applyProtection="1">
      <alignment wrapText="1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center" wrapText="1"/>
      <protection locked="0"/>
    </xf>
    <xf numFmtId="0" fontId="26" fillId="0" borderId="10" xfId="0" applyFon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34" borderId="18" xfId="0" applyFill="1" applyBorder="1" applyAlignment="1" applyProtection="1">
      <alignment/>
      <protection/>
    </xf>
    <xf numFmtId="0" fontId="13" fillId="34" borderId="19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2" fontId="13" fillId="34" borderId="19" xfId="0" applyNumberFormat="1" applyFont="1" applyFill="1" applyBorder="1" applyAlignment="1" applyProtection="1">
      <alignment/>
      <protection/>
    </xf>
    <xf numFmtId="2" fontId="0" fillId="34" borderId="19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13" fillId="34" borderId="13" xfId="0" applyFont="1" applyFill="1" applyBorder="1" applyAlignment="1" applyProtection="1">
      <alignment wrapText="1"/>
      <protection/>
    </xf>
    <xf numFmtId="2" fontId="0" fillId="34" borderId="13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0" fontId="21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21" fillId="0" borderId="10" xfId="0" applyFont="1" applyFill="1" applyBorder="1" applyAlignment="1" applyProtection="1">
      <alignment wrapText="1"/>
      <protection locked="0"/>
    </xf>
    <xf numFmtId="2" fontId="0" fillId="34" borderId="11" xfId="0" applyNumberFormat="1" applyFill="1" applyBorder="1" applyAlignment="1" applyProtection="1">
      <alignment/>
      <protection locked="0"/>
    </xf>
    <xf numFmtId="2" fontId="0" fillId="34" borderId="11" xfId="0" applyNumberFormat="1" applyFill="1" applyBorder="1" applyAlignment="1" applyProtection="1">
      <alignment/>
      <protection/>
    </xf>
    <xf numFmtId="173" fontId="16" fillId="34" borderId="19" xfId="0" applyNumberFormat="1" applyFont="1" applyFill="1" applyBorder="1" applyAlignment="1" applyProtection="1">
      <alignment/>
      <protection/>
    </xf>
    <xf numFmtId="2" fontId="16" fillId="34" borderId="19" xfId="0" applyNumberFormat="1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2" fontId="16" fillId="34" borderId="0" xfId="0" applyNumberFormat="1" applyFont="1" applyFill="1" applyBorder="1" applyAlignment="1" applyProtection="1">
      <alignment/>
      <protection/>
    </xf>
    <xf numFmtId="0" fontId="0" fillId="36" borderId="15" xfId="0" applyFill="1" applyBorder="1" applyAlignment="1" applyProtection="1">
      <alignment wrapText="1"/>
      <protection/>
    </xf>
    <xf numFmtId="0" fontId="0" fillId="36" borderId="10" xfId="0" applyFill="1" applyBorder="1" applyAlignment="1" applyProtection="1">
      <alignment wrapText="1"/>
      <protection/>
    </xf>
    <xf numFmtId="0" fontId="15" fillId="36" borderId="10" xfId="0" applyFont="1" applyFill="1" applyBorder="1" applyAlignment="1" applyProtection="1">
      <alignment wrapText="1"/>
      <protection/>
    </xf>
    <xf numFmtId="0" fontId="15" fillId="37" borderId="10" xfId="0" applyFont="1" applyFill="1" applyBorder="1" applyAlignment="1" applyProtection="1">
      <alignment wrapText="1"/>
      <protection/>
    </xf>
    <xf numFmtId="0" fontId="0" fillId="37" borderId="10" xfId="0" applyFill="1" applyBorder="1" applyAlignment="1" applyProtection="1">
      <alignment wrapText="1"/>
      <protection/>
    </xf>
    <xf numFmtId="0" fontId="13" fillId="36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2" fontId="29" fillId="35" borderId="10" xfId="0" applyNumberFormat="1" applyFont="1" applyFill="1" applyBorder="1" applyAlignment="1" applyProtection="1">
      <alignment/>
      <protection/>
    </xf>
    <xf numFmtId="2" fontId="0" fillId="34" borderId="0" xfId="0" applyNumberFormat="1" applyFill="1" applyBorder="1" applyAlignment="1" applyProtection="1">
      <alignment/>
      <protection/>
    </xf>
    <xf numFmtId="0" fontId="14" fillId="36" borderId="10" xfId="0" applyFont="1" applyFill="1" applyBorder="1" applyAlignment="1" applyProtection="1">
      <alignment wrapText="1"/>
      <protection/>
    </xf>
    <xf numFmtId="2" fontId="15" fillId="36" borderId="10" xfId="0" applyNumberFormat="1" applyFont="1" applyFill="1" applyBorder="1" applyAlignment="1" applyProtection="1">
      <alignment wrapText="1"/>
      <protection/>
    </xf>
    <xf numFmtId="2" fontId="15" fillId="37" borderId="10" xfId="0" applyNumberFormat="1" applyFont="1" applyFill="1" applyBorder="1" applyAlignment="1" applyProtection="1">
      <alignment wrapText="1"/>
      <protection/>
    </xf>
    <xf numFmtId="0" fontId="14" fillId="36" borderId="10" xfId="0" applyFont="1" applyFill="1" applyBorder="1" applyAlignment="1" applyProtection="1">
      <alignment/>
      <protection/>
    </xf>
    <xf numFmtId="1" fontId="28" fillId="36" borderId="10" xfId="0" applyNumberFormat="1" applyFont="1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8" fillId="36" borderId="10" xfId="0" applyFont="1" applyFill="1" applyBorder="1" applyAlignment="1" applyProtection="1">
      <alignment wrapText="1"/>
      <protection/>
    </xf>
    <xf numFmtId="2" fontId="28" fillId="36" borderId="10" xfId="0" applyNumberFormat="1" applyFont="1" applyFill="1" applyBorder="1" applyAlignment="1" applyProtection="1">
      <alignment wrapText="1"/>
      <protection/>
    </xf>
    <xf numFmtId="2" fontId="28" fillId="37" borderId="10" xfId="0" applyNumberFormat="1" applyFont="1" applyFill="1" applyBorder="1" applyAlignment="1" applyProtection="1">
      <alignment wrapText="1"/>
      <protection/>
    </xf>
    <xf numFmtId="0" fontId="28" fillId="37" borderId="10" xfId="0" applyFont="1" applyFill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6" fillId="39" borderId="10" xfId="0" applyFont="1" applyFill="1" applyBorder="1" applyAlignment="1" applyProtection="1">
      <alignment wrapText="1"/>
      <protection/>
    </xf>
    <xf numFmtId="0" fontId="0" fillId="39" borderId="10" xfId="0" applyFill="1" applyBorder="1" applyAlignment="1" applyProtection="1">
      <alignment wrapText="1"/>
      <protection/>
    </xf>
    <xf numFmtId="0" fontId="15" fillId="39" borderId="10" xfId="0" applyFont="1" applyFill="1" applyBorder="1" applyAlignment="1" applyProtection="1">
      <alignment wrapText="1"/>
      <protection/>
    </xf>
    <xf numFmtId="0" fontId="32" fillId="39" borderId="10" xfId="0" applyFont="1" applyFill="1" applyBorder="1" applyAlignment="1" applyProtection="1">
      <alignment wrapText="1"/>
      <protection/>
    </xf>
    <xf numFmtId="0" fontId="33" fillId="39" borderId="10" xfId="0" applyFont="1" applyFill="1" applyBorder="1" applyAlignment="1" applyProtection="1">
      <alignment wrapText="1"/>
      <protection/>
    </xf>
    <xf numFmtId="0" fontId="19" fillId="39" borderId="10" xfId="0" applyFont="1" applyFill="1" applyBorder="1" applyAlignment="1" applyProtection="1">
      <alignment wrapText="1"/>
      <protection/>
    </xf>
    <xf numFmtId="0" fontId="28" fillId="39" borderId="10" xfId="0" applyFont="1" applyFill="1" applyBorder="1" applyAlignment="1" applyProtection="1">
      <alignment wrapText="1"/>
      <protection/>
    </xf>
    <xf numFmtId="0" fontId="13" fillId="36" borderId="10" xfId="0" applyFont="1" applyFill="1" applyBorder="1" applyAlignment="1" applyProtection="1">
      <alignment wrapText="1"/>
      <protection/>
    </xf>
    <xf numFmtId="2" fontId="18" fillId="0" borderId="10" xfId="0" applyNumberFormat="1" applyFont="1" applyBorder="1" applyAlignment="1" applyProtection="1">
      <alignment wrapText="1"/>
      <protection/>
    </xf>
    <xf numFmtId="2" fontId="33" fillId="37" borderId="10" xfId="0" applyNumberFormat="1" applyFont="1" applyFill="1" applyBorder="1" applyAlignment="1" applyProtection="1">
      <alignment wrapText="1"/>
      <protection/>
    </xf>
    <xf numFmtId="9" fontId="29" fillId="35" borderId="10" xfId="55" applyFont="1" applyFill="1" applyBorder="1" applyAlignment="1" applyProtection="1">
      <alignment wrapText="1"/>
      <protection/>
    </xf>
    <xf numFmtId="1" fontId="18" fillId="0" borderId="10" xfId="0" applyNumberFormat="1" applyFont="1" applyFill="1" applyBorder="1" applyAlignment="1" applyProtection="1">
      <alignment wrapText="1"/>
      <protection/>
    </xf>
    <xf numFmtId="1" fontId="29" fillId="0" borderId="10" xfId="0" applyNumberFormat="1" applyFont="1" applyFill="1" applyBorder="1" applyAlignment="1" applyProtection="1">
      <alignment wrapText="1"/>
      <protection/>
    </xf>
    <xf numFmtId="0" fontId="29" fillId="35" borderId="10" xfId="0" applyFont="1" applyFill="1" applyBorder="1" applyAlignment="1">
      <alignment wrapText="1"/>
    </xf>
    <xf numFmtId="0" fontId="29" fillId="35" borderId="10" xfId="0" applyFont="1" applyFill="1" applyBorder="1" applyAlignment="1" applyProtection="1">
      <alignment wrapText="1"/>
      <protection/>
    </xf>
    <xf numFmtId="0" fontId="0" fillId="35" borderId="0" xfId="0" applyFill="1" applyBorder="1" applyAlignment="1">
      <alignment wrapText="1"/>
    </xf>
    <xf numFmtId="0" fontId="34" fillId="39" borderId="10" xfId="0" applyFont="1" applyFill="1" applyBorder="1" applyAlignment="1" applyProtection="1">
      <alignment wrapText="1"/>
      <protection/>
    </xf>
    <xf numFmtId="0" fontId="29" fillId="39" borderId="10" xfId="0" applyFont="1" applyFill="1" applyBorder="1" applyAlignment="1" applyProtection="1">
      <alignment wrapText="1"/>
      <protection/>
    </xf>
    <xf numFmtId="173" fontId="33" fillId="39" borderId="10" xfId="0" applyNumberFormat="1" applyFont="1" applyFill="1" applyBorder="1" applyAlignment="1" applyProtection="1">
      <alignment wrapText="1"/>
      <protection/>
    </xf>
    <xf numFmtId="173" fontId="35" fillId="39" borderId="10" xfId="0" applyNumberFormat="1" applyFont="1" applyFill="1" applyBorder="1" applyAlignment="1" applyProtection="1">
      <alignment wrapText="1"/>
      <protection/>
    </xf>
    <xf numFmtId="173" fontId="33" fillId="33" borderId="10" xfId="0" applyNumberFormat="1" applyFont="1" applyFill="1" applyBorder="1" applyAlignment="1" applyProtection="1">
      <alignment wrapText="1"/>
      <protection/>
    </xf>
    <xf numFmtId="1" fontId="28" fillId="39" borderId="10" xfId="0" applyNumberFormat="1" applyFont="1" applyFill="1" applyBorder="1" applyAlignment="1" applyProtection="1">
      <alignment wrapText="1"/>
      <protection/>
    </xf>
    <xf numFmtId="173" fontId="18" fillId="39" borderId="10" xfId="0" applyNumberFormat="1" applyFont="1" applyFill="1" applyBorder="1" applyAlignment="1" applyProtection="1">
      <alignment/>
      <protection/>
    </xf>
    <xf numFmtId="173" fontId="29" fillId="0" borderId="10" xfId="0" applyNumberFormat="1" applyFont="1" applyBorder="1" applyAlignment="1" applyProtection="1">
      <alignment wrapText="1"/>
      <protection/>
    </xf>
    <xf numFmtId="173" fontId="28" fillId="37" borderId="10" xfId="0" applyNumberFormat="1" applyFont="1" applyFill="1" applyBorder="1" applyAlignment="1" applyProtection="1">
      <alignment wrapText="1"/>
      <protection/>
    </xf>
    <xf numFmtId="1" fontId="28" fillId="37" borderId="10" xfId="0" applyNumberFormat="1" applyFont="1" applyFill="1" applyBorder="1" applyAlignment="1" applyProtection="1">
      <alignment wrapText="1"/>
      <protection/>
    </xf>
    <xf numFmtId="0" fontId="36" fillId="38" borderId="22" xfId="0" applyFont="1" applyFill="1" applyBorder="1" applyAlignment="1" applyProtection="1">
      <alignment wrapText="1"/>
      <protection/>
    </xf>
    <xf numFmtId="0" fontId="28" fillId="38" borderId="13" xfId="0" applyFont="1" applyFill="1" applyBorder="1" applyAlignment="1" applyProtection="1">
      <alignment wrapText="1"/>
      <protection/>
    </xf>
    <xf numFmtId="0" fontId="28" fillId="38" borderId="10" xfId="0" applyFont="1" applyFill="1" applyBorder="1" applyAlignment="1" applyProtection="1">
      <alignment wrapText="1"/>
      <protection/>
    </xf>
    <xf numFmtId="0" fontId="37" fillId="39" borderId="10" xfId="0" applyFont="1" applyFill="1" applyBorder="1" applyAlignment="1" applyProtection="1">
      <alignment wrapText="1"/>
      <protection/>
    </xf>
    <xf numFmtId="173" fontId="28" fillId="39" borderId="10" xfId="0" applyNumberFormat="1" applyFont="1" applyFill="1" applyBorder="1" applyAlignment="1" applyProtection="1">
      <alignment wrapText="1"/>
      <protection/>
    </xf>
    <xf numFmtId="173" fontId="18" fillId="36" borderId="14" xfId="0" applyNumberFormat="1" applyFont="1" applyFill="1" applyBorder="1" applyAlignment="1" applyProtection="1">
      <alignment wrapText="1"/>
      <protection/>
    </xf>
    <xf numFmtId="173" fontId="18" fillId="0" borderId="10" xfId="0" applyNumberFormat="1" applyFont="1" applyBorder="1" applyAlignment="1" applyProtection="1">
      <alignment wrapText="1"/>
      <protection/>
    </xf>
    <xf numFmtId="175" fontId="33" fillId="37" borderId="10" xfId="0" applyNumberFormat="1" applyFont="1" applyFill="1" applyBorder="1" applyAlignment="1" applyProtection="1">
      <alignment wrapText="1"/>
      <protection/>
    </xf>
    <xf numFmtId="0" fontId="14" fillId="37" borderId="10" xfId="0" applyFont="1" applyFill="1" applyBorder="1" applyAlignment="1" applyProtection="1">
      <alignment wrapText="1"/>
      <protection/>
    </xf>
    <xf numFmtId="0" fontId="13" fillId="38" borderId="10" xfId="0" applyFont="1" applyFill="1" applyBorder="1" applyAlignment="1" applyProtection="1">
      <alignment wrapText="1"/>
      <protection/>
    </xf>
    <xf numFmtId="1" fontId="32" fillId="38" borderId="10" xfId="0" applyNumberFormat="1" applyFont="1" applyFill="1" applyBorder="1" applyAlignment="1" applyProtection="1">
      <alignment wrapText="1"/>
      <protection/>
    </xf>
    <xf numFmtId="1" fontId="16" fillId="38" borderId="10" xfId="0" applyNumberFormat="1" applyFont="1" applyFill="1" applyBorder="1" applyAlignment="1" applyProtection="1">
      <alignment wrapText="1"/>
      <protection/>
    </xf>
    <xf numFmtId="1" fontId="33" fillId="38" borderId="10" xfId="0" applyNumberFormat="1" applyFont="1" applyFill="1" applyBorder="1" applyAlignment="1" applyProtection="1">
      <alignment wrapText="1"/>
      <protection/>
    </xf>
    <xf numFmtId="1" fontId="38" fillId="38" borderId="10" xfId="0" applyNumberFormat="1" applyFont="1" applyFill="1" applyBorder="1" applyAlignment="1" applyProtection="1">
      <alignment wrapText="1"/>
      <protection/>
    </xf>
    <xf numFmtId="1" fontId="13" fillId="38" borderId="10" xfId="0" applyNumberFormat="1" applyFont="1" applyFill="1" applyBorder="1" applyAlignment="1" applyProtection="1">
      <alignment wrapText="1"/>
      <protection/>
    </xf>
    <xf numFmtId="0" fontId="39" fillId="39" borderId="10" xfId="0" applyFont="1" applyFill="1" applyBorder="1" applyAlignment="1" applyProtection="1">
      <alignment wrapText="1"/>
      <protection/>
    </xf>
    <xf numFmtId="173" fontId="15" fillId="36" borderId="10" xfId="0" applyNumberFormat="1" applyFont="1" applyFill="1" applyBorder="1" applyAlignment="1" applyProtection="1">
      <alignment wrapText="1"/>
      <protection/>
    </xf>
    <xf numFmtId="173" fontId="18" fillId="39" borderId="14" xfId="0" applyNumberFormat="1" applyFont="1" applyFill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  <xf numFmtId="0" fontId="33" fillId="37" borderId="10" xfId="0" applyFont="1" applyFill="1" applyBorder="1" applyAlignment="1" applyProtection="1">
      <alignment wrapText="1"/>
      <protection/>
    </xf>
    <xf numFmtId="0" fontId="13" fillId="40" borderId="10" xfId="0" applyFont="1" applyFill="1" applyBorder="1" applyAlignment="1" applyProtection="1">
      <alignment wrapText="1"/>
      <protection/>
    </xf>
    <xf numFmtId="173" fontId="33" fillId="37" borderId="10" xfId="0" applyNumberFormat="1" applyFont="1" applyFill="1" applyBorder="1" applyAlignment="1" applyProtection="1">
      <alignment wrapText="1"/>
      <protection/>
    </xf>
    <xf numFmtId="0" fontId="41" fillId="37" borderId="10" xfId="0" applyFont="1" applyFill="1" applyBorder="1" applyAlignment="1" applyProtection="1">
      <alignment wrapText="1"/>
      <protection/>
    </xf>
    <xf numFmtId="2" fontId="42" fillId="38" borderId="10" xfId="0" applyNumberFormat="1" applyFont="1" applyFill="1" applyBorder="1" applyAlignment="1" applyProtection="1">
      <alignment wrapText="1"/>
      <protection/>
    </xf>
    <xf numFmtId="1" fontId="28" fillId="38" borderId="10" xfId="0" applyNumberFormat="1" applyFont="1" applyFill="1" applyBorder="1" applyAlignment="1" applyProtection="1">
      <alignment wrapText="1"/>
      <protection/>
    </xf>
    <xf numFmtId="173" fontId="15" fillId="39" borderId="10" xfId="0" applyNumberFormat="1" applyFont="1" applyFill="1" applyBorder="1" applyAlignment="1" applyProtection="1">
      <alignment wrapText="1"/>
      <protection/>
    </xf>
    <xf numFmtId="173" fontId="29" fillId="37" borderId="10" xfId="0" applyNumberFormat="1" applyFont="1" applyFill="1" applyBorder="1" applyAlignment="1" applyProtection="1">
      <alignment wrapText="1"/>
      <protection/>
    </xf>
    <xf numFmtId="0" fontId="29" fillId="0" borderId="0" xfId="0" applyFont="1" applyAlignment="1" applyProtection="1">
      <alignment wrapText="1"/>
      <protection/>
    </xf>
    <xf numFmtId="173" fontId="42" fillId="38" borderId="10" xfId="0" applyNumberFormat="1" applyFont="1" applyFill="1" applyBorder="1" applyAlignment="1" applyProtection="1">
      <alignment wrapText="1"/>
      <protection/>
    </xf>
    <xf numFmtId="175" fontId="13" fillId="38" borderId="10" xfId="0" applyNumberFormat="1" applyFont="1" applyFill="1" applyBorder="1" applyAlignment="1" applyProtection="1">
      <alignment wrapText="1"/>
      <protection/>
    </xf>
    <xf numFmtId="0" fontId="13" fillId="38" borderId="10" xfId="0" applyFont="1" applyFill="1" applyBorder="1" applyAlignment="1">
      <alignment wrapText="1"/>
    </xf>
    <xf numFmtId="173" fontId="33" fillId="33" borderId="10" xfId="0" applyNumberFormat="1" applyFont="1" applyFill="1" applyBorder="1" applyAlignment="1" applyProtection="1">
      <alignment/>
      <protection/>
    </xf>
    <xf numFmtId="9" fontId="43" fillId="38" borderId="10" xfId="0" applyNumberFormat="1" applyFont="1" applyFill="1" applyBorder="1" applyAlignment="1" applyProtection="1">
      <alignment wrapText="1"/>
      <protection/>
    </xf>
    <xf numFmtId="0" fontId="0" fillId="38" borderId="10" xfId="0" applyFill="1" applyBorder="1" applyAlignment="1" applyProtection="1">
      <alignment wrapText="1"/>
      <protection/>
    </xf>
    <xf numFmtId="0" fontId="0" fillId="38" borderId="10" xfId="0" applyFill="1" applyBorder="1" applyAlignment="1">
      <alignment wrapText="1"/>
    </xf>
    <xf numFmtId="0" fontId="16" fillId="38" borderId="10" xfId="0" applyFont="1" applyFill="1" applyBorder="1" applyAlignment="1" applyProtection="1">
      <alignment wrapText="1"/>
      <protection/>
    </xf>
    <xf numFmtId="0" fontId="44" fillId="39" borderId="10" xfId="0" applyFont="1" applyFill="1" applyBorder="1" applyAlignment="1" applyProtection="1">
      <alignment wrapText="1"/>
      <protection/>
    </xf>
    <xf numFmtId="0" fontId="29" fillId="0" borderId="10" xfId="0" applyFont="1" applyFill="1" applyBorder="1" applyAlignment="1" applyProtection="1">
      <alignment wrapText="1"/>
      <protection/>
    </xf>
    <xf numFmtId="0" fontId="16" fillId="36" borderId="10" xfId="0" applyFont="1" applyFill="1" applyBorder="1" applyAlignment="1" applyProtection="1">
      <alignment wrapText="1"/>
      <protection/>
    </xf>
    <xf numFmtId="173" fontId="45" fillId="37" borderId="10" xfId="0" applyNumberFormat="1" applyFont="1" applyFill="1" applyBorder="1" applyAlignment="1" applyProtection="1">
      <alignment wrapText="1"/>
      <protection/>
    </xf>
    <xf numFmtId="9" fontId="0" fillId="38" borderId="10" xfId="0" applyNumberFormat="1" applyFill="1" applyBorder="1" applyAlignment="1" applyProtection="1">
      <alignment wrapText="1"/>
      <protection/>
    </xf>
    <xf numFmtId="2" fontId="15" fillId="38" borderId="10" xfId="0" applyNumberFormat="1" applyFont="1" applyFill="1" applyBorder="1" applyAlignment="1" applyProtection="1">
      <alignment wrapText="1"/>
      <protection/>
    </xf>
    <xf numFmtId="2" fontId="15" fillId="38" borderId="10" xfId="0" applyNumberFormat="1" applyFont="1" applyFill="1" applyBorder="1" applyAlignment="1">
      <alignment wrapText="1"/>
    </xf>
    <xf numFmtId="0" fontId="15" fillId="38" borderId="10" xfId="0" applyFont="1" applyFill="1" applyBorder="1" applyAlignment="1" applyProtection="1">
      <alignment wrapText="1"/>
      <protection/>
    </xf>
    <xf numFmtId="173" fontId="15" fillId="38" borderId="10" xfId="0" applyNumberFormat="1" applyFont="1" applyFill="1" applyBorder="1" applyAlignment="1">
      <alignment wrapText="1"/>
    </xf>
    <xf numFmtId="0" fontId="46" fillId="0" borderId="10" xfId="0" applyFont="1" applyBorder="1" applyAlignment="1" applyProtection="1">
      <alignment wrapText="1"/>
      <protection/>
    </xf>
    <xf numFmtId="0" fontId="19" fillId="0" borderId="10" xfId="0" applyFont="1" applyBorder="1" applyAlignment="1" applyProtection="1">
      <alignment wrapText="1"/>
      <protection/>
    </xf>
    <xf numFmtId="1" fontId="28" fillId="36" borderId="10" xfId="0" applyNumberFormat="1" applyFont="1" applyFill="1" applyBorder="1" applyAlignment="1" applyProtection="1">
      <alignment wrapText="1"/>
      <protection/>
    </xf>
    <xf numFmtId="2" fontId="43" fillId="36" borderId="10" xfId="0" applyNumberFormat="1" applyFont="1" applyFill="1" applyBorder="1" applyAlignment="1" applyProtection="1">
      <alignment wrapText="1"/>
      <protection/>
    </xf>
    <xf numFmtId="9" fontId="32" fillId="38" borderId="10" xfId="0" applyNumberFormat="1" applyFont="1" applyFill="1" applyBorder="1" applyAlignment="1" applyProtection="1">
      <alignment wrapText="1"/>
      <protection/>
    </xf>
    <xf numFmtId="1" fontId="15" fillId="38" borderId="10" xfId="0" applyNumberFormat="1" applyFont="1" applyFill="1" applyBorder="1" applyAlignment="1" applyProtection="1">
      <alignment wrapText="1"/>
      <protection/>
    </xf>
    <xf numFmtId="0" fontId="39" fillId="39" borderId="10" xfId="0" applyFont="1" applyFill="1" applyBorder="1" applyAlignment="1" applyProtection="1">
      <alignment horizontal="center" wrapText="1"/>
      <protection/>
    </xf>
    <xf numFmtId="173" fontId="28" fillId="39" borderId="10" xfId="0" applyNumberFormat="1" applyFont="1" applyFill="1" applyBorder="1" applyAlignment="1" applyProtection="1">
      <alignment horizontal="center" wrapText="1"/>
      <protection/>
    </xf>
    <xf numFmtId="1" fontId="18" fillId="39" borderId="14" xfId="0" applyNumberFormat="1" applyFont="1" applyFill="1" applyBorder="1" applyAlignment="1" applyProtection="1">
      <alignment wrapText="1"/>
      <protection/>
    </xf>
    <xf numFmtId="1" fontId="29" fillId="35" borderId="10" xfId="0" applyNumberFormat="1" applyFont="1" applyFill="1" applyBorder="1" applyAlignment="1" applyProtection="1">
      <alignment wrapText="1"/>
      <protection/>
    </xf>
    <xf numFmtId="1" fontId="29" fillId="0" borderId="10" xfId="0" applyNumberFormat="1" applyFont="1" applyBorder="1" applyAlignment="1" applyProtection="1">
      <alignment wrapText="1"/>
      <protection/>
    </xf>
    <xf numFmtId="9" fontId="13" fillId="38" borderId="10" xfId="0" applyNumberFormat="1" applyFont="1" applyFill="1" applyBorder="1" applyAlignment="1" applyProtection="1">
      <alignment wrapText="1"/>
      <protection/>
    </xf>
    <xf numFmtId="175" fontId="28" fillId="36" borderId="10" xfId="0" applyNumberFormat="1" applyFont="1" applyFill="1" applyBorder="1" applyAlignment="1" applyProtection="1">
      <alignment wrapText="1"/>
      <protection/>
    </xf>
    <xf numFmtId="1" fontId="47" fillId="38" borderId="10" xfId="0" applyNumberFormat="1" applyFont="1" applyFill="1" applyBorder="1" applyAlignment="1" applyProtection="1">
      <alignment wrapText="1"/>
      <protection/>
    </xf>
    <xf numFmtId="0" fontId="47" fillId="38" borderId="10" xfId="0" applyFont="1" applyFill="1" applyBorder="1" applyAlignment="1" applyProtection="1">
      <alignment wrapText="1"/>
      <protection/>
    </xf>
    <xf numFmtId="0" fontId="39" fillId="39" borderId="0" xfId="0" applyFont="1" applyFill="1" applyAlignment="1" applyProtection="1">
      <alignment wrapText="1"/>
      <protection/>
    </xf>
    <xf numFmtId="2" fontId="15" fillId="39" borderId="11" xfId="0" applyNumberFormat="1" applyFont="1" applyFill="1" applyBorder="1" applyAlignment="1" applyProtection="1">
      <alignment/>
      <protection/>
    </xf>
    <xf numFmtId="173" fontId="33" fillId="39" borderId="11" xfId="0" applyNumberFormat="1" applyFont="1" applyFill="1" applyBorder="1" applyAlignment="1" applyProtection="1">
      <alignment/>
      <protection/>
    </xf>
    <xf numFmtId="173" fontId="35" fillId="39" borderId="11" xfId="0" applyNumberFormat="1" applyFont="1" applyFill="1" applyBorder="1" applyAlignment="1" applyProtection="1">
      <alignment/>
      <protection/>
    </xf>
    <xf numFmtId="2" fontId="33" fillId="39" borderId="11" xfId="0" applyNumberFormat="1" applyFont="1" applyFill="1" applyBorder="1" applyAlignment="1" applyProtection="1">
      <alignment/>
      <protection/>
    </xf>
    <xf numFmtId="0" fontId="18" fillId="39" borderId="23" xfId="0" applyFont="1" applyFill="1" applyBorder="1" applyAlignment="1" applyProtection="1">
      <alignment wrapText="1"/>
      <protection/>
    </xf>
    <xf numFmtId="0" fontId="28" fillId="39" borderId="11" xfId="0" applyFont="1" applyFill="1" applyBorder="1" applyAlignment="1" applyProtection="1">
      <alignment wrapText="1"/>
      <protection/>
    </xf>
    <xf numFmtId="173" fontId="18" fillId="39" borderId="11" xfId="0" applyNumberFormat="1" applyFont="1" applyFill="1" applyBorder="1" applyAlignment="1" applyProtection="1">
      <alignment/>
      <protection/>
    </xf>
    <xf numFmtId="1" fontId="33" fillId="37" borderId="10" xfId="0" applyNumberFormat="1" applyFont="1" applyFill="1" applyBorder="1" applyAlignment="1" applyProtection="1">
      <alignment wrapText="1"/>
      <protection/>
    </xf>
    <xf numFmtId="173" fontId="0" fillId="39" borderId="10" xfId="0" applyNumberFormat="1" applyFill="1" applyBorder="1" applyAlignment="1" applyProtection="1">
      <alignment wrapText="1"/>
      <protection/>
    </xf>
    <xf numFmtId="173" fontId="28" fillId="33" borderId="10" xfId="0" applyNumberFormat="1" applyFont="1" applyFill="1" applyBorder="1" applyAlignment="1" applyProtection="1">
      <alignment wrapText="1"/>
      <protection/>
    </xf>
    <xf numFmtId="1" fontId="13" fillId="39" borderId="10" xfId="0" applyNumberFormat="1" applyFont="1" applyFill="1" applyBorder="1" applyAlignment="1" applyProtection="1">
      <alignment wrapText="1"/>
      <protection/>
    </xf>
    <xf numFmtId="2" fontId="29" fillId="35" borderId="10" xfId="0" applyNumberFormat="1" applyFont="1" applyFill="1" applyBorder="1" applyAlignment="1" applyProtection="1">
      <alignment wrapText="1"/>
      <protection/>
    </xf>
    <xf numFmtId="173" fontId="18" fillId="36" borderId="10" xfId="0" applyNumberFormat="1" applyFont="1" applyFill="1" applyBorder="1" applyAlignment="1" applyProtection="1">
      <alignment wrapText="1"/>
      <protection/>
    </xf>
    <xf numFmtId="9" fontId="45" fillId="38" borderId="10" xfId="0" applyNumberFormat="1" applyFont="1" applyFill="1" applyBorder="1" applyAlignment="1" applyProtection="1">
      <alignment wrapText="1"/>
      <protection/>
    </xf>
    <xf numFmtId="0" fontId="48" fillId="38" borderId="10" xfId="0" applyFont="1" applyFill="1" applyBorder="1" applyAlignment="1" applyProtection="1">
      <alignment wrapText="1"/>
      <protection/>
    </xf>
    <xf numFmtId="0" fontId="48" fillId="38" borderId="10" xfId="0" applyFont="1" applyFill="1" applyBorder="1" applyAlignment="1">
      <alignment wrapText="1"/>
    </xf>
    <xf numFmtId="0" fontId="18" fillId="39" borderId="10" xfId="0" applyFont="1" applyFill="1" applyBorder="1" applyAlignment="1" applyProtection="1">
      <alignment wrapText="1"/>
      <protection/>
    </xf>
    <xf numFmtId="1" fontId="29" fillId="37" borderId="10" xfId="0" applyNumberFormat="1" applyFont="1" applyFill="1" applyBorder="1" applyAlignment="1" applyProtection="1">
      <alignment wrapText="1"/>
      <protection/>
    </xf>
    <xf numFmtId="9" fontId="20" fillId="38" borderId="10" xfId="0" applyNumberFormat="1" applyFont="1" applyFill="1" applyBorder="1" applyAlignment="1" applyProtection="1">
      <alignment wrapText="1"/>
      <protection/>
    </xf>
    <xf numFmtId="0" fontId="20" fillId="38" borderId="10" xfId="0" applyFont="1" applyFill="1" applyBorder="1" applyAlignment="1" applyProtection="1">
      <alignment wrapText="1"/>
      <protection/>
    </xf>
    <xf numFmtId="0" fontId="20" fillId="38" borderId="10" xfId="0" applyFont="1" applyFill="1" applyBorder="1" applyAlignment="1">
      <alignment wrapText="1"/>
    </xf>
    <xf numFmtId="1" fontId="20" fillId="38" borderId="10" xfId="0" applyNumberFormat="1" applyFont="1" applyFill="1" applyBorder="1" applyAlignment="1" applyProtection="1">
      <alignment wrapText="1"/>
      <protection/>
    </xf>
    <xf numFmtId="0" fontId="49" fillId="41" borderId="10" xfId="0" applyFont="1" applyFill="1" applyBorder="1" applyAlignment="1" applyProtection="1">
      <alignment wrapText="1"/>
      <protection/>
    </xf>
    <xf numFmtId="173" fontId="50" fillId="41" borderId="10" xfId="0" applyNumberFormat="1" applyFont="1" applyFill="1" applyBorder="1" applyAlignment="1" applyProtection="1">
      <alignment wrapText="1"/>
      <protection/>
    </xf>
    <xf numFmtId="1" fontId="50" fillId="41" borderId="10" xfId="0" applyNumberFormat="1" applyFont="1" applyFill="1" applyBorder="1" applyAlignment="1" applyProtection="1">
      <alignment wrapText="1"/>
      <protection/>
    </xf>
    <xf numFmtId="173" fontId="51" fillId="39" borderId="10" xfId="0" applyNumberFormat="1" applyFont="1" applyFill="1" applyBorder="1" applyAlignment="1" applyProtection="1">
      <alignment wrapText="1"/>
      <protection/>
    </xf>
    <xf numFmtId="173" fontId="50" fillId="39" borderId="10" xfId="0" applyNumberFormat="1" applyFont="1" applyFill="1" applyBorder="1" applyAlignment="1" applyProtection="1">
      <alignment wrapText="1"/>
      <protection/>
    </xf>
    <xf numFmtId="0" fontId="50" fillId="41" borderId="10" xfId="0" applyFont="1" applyFill="1" applyBorder="1" applyAlignment="1" applyProtection="1">
      <alignment wrapText="1"/>
      <protection/>
    </xf>
    <xf numFmtId="173" fontId="18" fillId="39" borderId="10" xfId="0" applyNumberFormat="1" applyFont="1" applyFill="1" applyBorder="1" applyAlignment="1" applyProtection="1">
      <alignment wrapText="1"/>
      <protection/>
    </xf>
    <xf numFmtId="0" fontId="18" fillId="0" borderId="16" xfId="0" applyFont="1" applyBorder="1" applyAlignment="1" applyProtection="1">
      <alignment wrapText="1"/>
      <protection/>
    </xf>
    <xf numFmtId="0" fontId="52" fillId="38" borderId="10" xfId="0" applyFont="1" applyFill="1" applyBorder="1" applyAlignment="1" applyProtection="1">
      <alignment wrapText="1"/>
      <protection/>
    </xf>
    <xf numFmtId="0" fontId="53" fillId="38" borderId="10" xfId="0" applyFont="1" applyFill="1" applyBorder="1" applyAlignment="1" applyProtection="1">
      <alignment wrapText="1"/>
      <protection/>
    </xf>
    <xf numFmtId="173" fontId="15" fillId="38" borderId="10" xfId="0" applyNumberFormat="1" applyFont="1" applyFill="1" applyBorder="1" applyAlignment="1" applyProtection="1">
      <alignment wrapText="1"/>
      <protection/>
    </xf>
    <xf numFmtId="2" fontId="28" fillId="39" borderId="10" xfId="0" applyNumberFormat="1" applyFont="1" applyFill="1" applyBorder="1" applyAlignment="1" applyProtection="1">
      <alignment wrapText="1"/>
      <protection/>
    </xf>
    <xf numFmtId="1" fontId="55" fillId="38" borderId="10" xfId="0" applyNumberFormat="1" applyFont="1" applyFill="1" applyBorder="1" applyAlignment="1" applyProtection="1">
      <alignment wrapText="1"/>
      <protection/>
    </xf>
    <xf numFmtId="0" fontId="18" fillId="39" borderId="14" xfId="0" applyFont="1" applyFill="1" applyBorder="1" applyAlignment="1" applyProtection="1">
      <alignment wrapText="1"/>
      <protection/>
    </xf>
    <xf numFmtId="0" fontId="15" fillId="36" borderId="16" xfId="0" applyFont="1" applyFill="1" applyBorder="1" applyAlignment="1" applyProtection="1">
      <alignment wrapText="1"/>
      <protection/>
    </xf>
    <xf numFmtId="2" fontId="28" fillId="38" borderId="10" xfId="0" applyNumberFormat="1" applyFont="1" applyFill="1" applyBorder="1" applyAlignment="1" applyProtection="1">
      <alignment wrapText="1"/>
      <protection/>
    </xf>
    <xf numFmtId="2" fontId="28" fillId="38" borderId="10" xfId="0" applyNumberFormat="1" applyFont="1" applyFill="1" applyBorder="1" applyAlignment="1">
      <alignment wrapText="1"/>
    </xf>
    <xf numFmtId="1" fontId="53" fillId="37" borderId="10" xfId="0" applyNumberFormat="1" applyFont="1" applyFill="1" applyBorder="1" applyAlignment="1" applyProtection="1">
      <alignment wrapText="1"/>
      <protection/>
    </xf>
    <xf numFmtId="173" fontId="28" fillId="38" borderId="10" xfId="0" applyNumberFormat="1" applyFont="1" applyFill="1" applyBorder="1" applyAlignment="1" applyProtection="1">
      <alignment wrapText="1"/>
      <protection/>
    </xf>
    <xf numFmtId="0" fontId="57" fillId="38" borderId="10" xfId="0" applyFont="1" applyFill="1" applyBorder="1" applyAlignment="1" applyProtection="1">
      <alignment wrapText="1"/>
      <protection/>
    </xf>
    <xf numFmtId="0" fontId="33" fillId="38" borderId="10" xfId="0" applyFont="1" applyFill="1" applyBorder="1" applyAlignment="1" applyProtection="1">
      <alignment wrapText="1"/>
      <protection/>
    </xf>
    <xf numFmtId="1" fontId="52" fillId="38" borderId="10" xfId="0" applyNumberFormat="1" applyFont="1" applyFill="1" applyBorder="1" applyAlignment="1" applyProtection="1">
      <alignment wrapText="1"/>
      <protection/>
    </xf>
    <xf numFmtId="173" fontId="28" fillId="38" borderId="10" xfId="0" applyNumberFormat="1" applyFont="1" applyFill="1" applyBorder="1" applyAlignment="1">
      <alignment wrapText="1"/>
    </xf>
    <xf numFmtId="0" fontId="14" fillId="40" borderId="10" xfId="0" applyFont="1" applyFill="1" applyBorder="1" applyAlignment="1" applyProtection="1">
      <alignment wrapText="1"/>
      <protection/>
    </xf>
    <xf numFmtId="1" fontId="33" fillId="40" borderId="10" xfId="0" applyNumberFormat="1" applyFont="1" applyFill="1" applyBorder="1" applyAlignment="1" applyProtection="1">
      <alignment wrapText="1"/>
      <protection/>
    </xf>
    <xf numFmtId="1" fontId="53" fillId="40" borderId="10" xfId="0" applyNumberFormat="1" applyFont="1" applyFill="1" applyBorder="1" applyAlignment="1" applyProtection="1">
      <alignment wrapText="1"/>
      <protection/>
    </xf>
    <xf numFmtId="0" fontId="58" fillId="40" borderId="10" xfId="0" applyFont="1" applyFill="1" applyBorder="1" applyAlignment="1" applyProtection="1">
      <alignment wrapText="1"/>
      <protection/>
    </xf>
    <xf numFmtId="0" fontId="0" fillId="40" borderId="10" xfId="0" applyFill="1" applyBorder="1" applyAlignment="1" applyProtection="1">
      <alignment wrapText="1"/>
      <protection/>
    </xf>
    <xf numFmtId="0" fontId="32" fillId="40" borderId="10" xfId="0" applyFont="1" applyFill="1" applyBorder="1" applyAlignment="1" applyProtection="1">
      <alignment wrapText="1"/>
      <protection/>
    </xf>
    <xf numFmtId="2" fontId="32" fillId="40" borderId="10" xfId="0" applyNumberFormat="1" applyFont="1" applyFill="1" applyBorder="1" applyAlignment="1" applyProtection="1">
      <alignment wrapText="1"/>
      <protection/>
    </xf>
    <xf numFmtId="9" fontId="58" fillId="38" borderId="10" xfId="0" applyNumberFormat="1" applyFont="1" applyFill="1" applyBorder="1" applyAlignment="1" applyProtection="1">
      <alignment wrapText="1"/>
      <protection/>
    </xf>
    <xf numFmtId="0" fontId="58" fillId="38" borderId="10" xfId="0" applyFont="1" applyFill="1" applyBorder="1" applyAlignment="1" applyProtection="1">
      <alignment wrapText="1"/>
      <protection/>
    </xf>
    <xf numFmtId="0" fontId="58" fillId="38" borderId="10" xfId="0" applyFont="1" applyFill="1" applyBorder="1" applyAlignment="1">
      <alignment wrapText="1"/>
    </xf>
    <xf numFmtId="9" fontId="14" fillId="38" borderId="10" xfId="0" applyNumberFormat="1" applyFont="1" applyFill="1" applyBorder="1" applyAlignment="1" applyProtection="1">
      <alignment wrapText="1"/>
      <protection/>
    </xf>
    <xf numFmtId="173" fontId="0" fillId="38" borderId="10" xfId="0" applyNumberFormat="1" applyFill="1" applyBorder="1" applyAlignment="1">
      <alignment wrapText="1"/>
    </xf>
    <xf numFmtId="1" fontId="33" fillId="39" borderId="10" xfId="0" applyNumberFormat="1" applyFont="1" applyFill="1" applyBorder="1" applyAlignment="1" applyProtection="1">
      <alignment wrapText="1"/>
      <protection/>
    </xf>
    <xf numFmtId="0" fontId="29" fillId="39" borderId="14" xfId="0" applyFont="1" applyFill="1" applyBorder="1" applyAlignment="1" applyProtection="1">
      <alignment wrapText="1"/>
      <protection/>
    </xf>
    <xf numFmtId="173" fontId="29" fillId="39" borderId="10" xfId="0" applyNumberFormat="1" applyFont="1" applyFill="1" applyBorder="1" applyAlignment="1" applyProtection="1">
      <alignment/>
      <protection/>
    </xf>
    <xf numFmtId="1" fontId="15" fillId="36" borderId="10" xfId="0" applyNumberFormat="1" applyFont="1" applyFill="1" applyBorder="1" applyAlignment="1" applyProtection="1">
      <alignment wrapText="1"/>
      <protection/>
    </xf>
    <xf numFmtId="0" fontId="14" fillId="38" borderId="10" xfId="0" applyFont="1" applyFill="1" applyBorder="1" applyAlignment="1" applyProtection="1">
      <alignment wrapText="1"/>
      <protection/>
    </xf>
    <xf numFmtId="0" fontId="14" fillId="38" borderId="10" xfId="0" applyFont="1" applyFill="1" applyBorder="1" applyAlignment="1">
      <alignment wrapText="1"/>
    </xf>
    <xf numFmtId="1" fontId="0" fillId="38" borderId="10" xfId="0" applyNumberFormat="1" applyFill="1" applyBorder="1" applyAlignment="1" applyProtection="1">
      <alignment wrapText="1"/>
      <protection/>
    </xf>
    <xf numFmtId="0" fontId="15" fillId="37" borderId="10" xfId="0" applyFont="1" applyFill="1" applyBorder="1" applyAlignment="1" applyProtection="1">
      <alignment/>
      <protection/>
    </xf>
    <xf numFmtId="0" fontId="59" fillId="33" borderId="10" xfId="0" applyFont="1" applyFill="1" applyBorder="1" applyAlignment="1" applyProtection="1">
      <alignment wrapText="1"/>
      <protection/>
    </xf>
    <xf numFmtId="173" fontId="35" fillId="33" borderId="10" xfId="0" applyNumberFormat="1" applyFont="1" applyFill="1" applyBorder="1" applyAlignment="1" applyProtection="1">
      <alignment wrapText="1"/>
      <protection/>
    </xf>
    <xf numFmtId="173" fontId="18" fillId="33" borderId="14" xfId="0" applyNumberFormat="1" applyFont="1" applyFill="1" applyBorder="1" applyAlignment="1" applyProtection="1">
      <alignment wrapText="1"/>
      <protection/>
    </xf>
    <xf numFmtId="1" fontId="28" fillId="33" borderId="10" xfId="0" applyNumberFormat="1" applyFont="1" applyFill="1" applyBorder="1" applyAlignment="1" applyProtection="1">
      <alignment wrapText="1"/>
      <protection/>
    </xf>
    <xf numFmtId="173" fontId="18" fillId="33" borderId="10" xfId="0" applyNumberFormat="1" applyFont="1" applyFill="1" applyBorder="1" applyAlignment="1" applyProtection="1">
      <alignment/>
      <protection/>
    </xf>
    <xf numFmtId="0" fontId="39" fillId="33" borderId="10" xfId="0" applyFont="1" applyFill="1" applyBorder="1" applyAlignment="1" applyProtection="1">
      <alignment wrapText="1"/>
      <protection/>
    </xf>
    <xf numFmtId="0" fontId="15" fillId="36" borderId="10" xfId="0" applyFont="1" applyFill="1" applyBorder="1" applyAlignment="1" applyProtection="1">
      <alignment/>
      <protection/>
    </xf>
    <xf numFmtId="2" fontId="28" fillId="37" borderId="10" xfId="0" applyNumberFormat="1" applyFont="1" applyFill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175" fontId="15" fillId="36" borderId="10" xfId="0" applyNumberFormat="1" applyFont="1" applyFill="1" applyBorder="1" applyAlignment="1" applyProtection="1">
      <alignment wrapText="1"/>
      <protection/>
    </xf>
    <xf numFmtId="173" fontId="15" fillId="33" borderId="10" xfId="0" applyNumberFormat="1" applyFont="1" applyFill="1" applyBorder="1" applyAlignment="1" applyProtection="1">
      <alignment wrapText="1"/>
      <protection/>
    </xf>
    <xf numFmtId="175" fontId="15" fillId="36" borderId="10" xfId="0" applyNumberFormat="1" applyFont="1" applyFill="1" applyBorder="1" applyAlignment="1" applyProtection="1">
      <alignment/>
      <protection/>
    </xf>
    <xf numFmtId="2" fontId="15" fillId="33" borderId="10" xfId="0" applyNumberFormat="1" applyFont="1" applyFill="1" applyBorder="1" applyAlignment="1" applyProtection="1">
      <alignment wrapText="1"/>
      <protection/>
    </xf>
    <xf numFmtId="173" fontId="35" fillId="33" borderId="10" xfId="0" applyNumberFormat="1" applyFont="1" applyFill="1" applyBorder="1" applyAlignment="1" applyProtection="1">
      <alignment/>
      <protection/>
    </xf>
    <xf numFmtId="0" fontId="33" fillId="33" borderId="10" xfId="0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 wrapText="1"/>
      <protection/>
    </xf>
    <xf numFmtId="0" fontId="28" fillId="33" borderId="10" xfId="0" applyFont="1" applyFill="1" applyBorder="1" applyAlignment="1" applyProtection="1">
      <alignment/>
      <protection/>
    </xf>
    <xf numFmtId="1" fontId="0" fillId="38" borderId="14" xfId="0" applyNumberFormat="1" applyFill="1" applyBorder="1" applyAlignment="1" applyProtection="1">
      <alignment wrapText="1"/>
      <protection/>
    </xf>
    <xf numFmtId="0" fontId="29" fillId="0" borderId="11" xfId="0" applyFont="1" applyBorder="1" applyAlignment="1" applyProtection="1">
      <alignment wrapText="1"/>
      <protection/>
    </xf>
    <xf numFmtId="173" fontId="33" fillId="33" borderId="11" xfId="0" applyNumberFormat="1" applyFont="1" applyFill="1" applyBorder="1" applyAlignment="1" applyProtection="1">
      <alignment wrapText="1"/>
      <protection/>
    </xf>
    <xf numFmtId="173" fontId="35" fillId="33" borderId="11" xfId="0" applyNumberFormat="1" applyFont="1" applyFill="1" applyBorder="1" applyAlignment="1" applyProtection="1">
      <alignment wrapText="1"/>
      <protection/>
    </xf>
    <xf numFmtId="173" fontId="18" fillId="33" borderId="23" xfId="0" applyNumberFormat="1" applyFont="1" applyFill="1" applyBorder="1" applyAlignment="1" applyProtection="1">
      <alignment wrapText="1"/>
      <protection/>
    </xf>
    <xf numFmtId="0" fontId="28" fillId="33" borderId="11" xfId="0" applyFont="1" applyFill="1" applyBorder="1" applyAlignment="1" applyProtection="1">
      <alignment/>
      <protection/>
    </xf>
    <xf numFmtId="173" fontId="18" fillId="33" borderId="11" xfId="0" applyNumberFormat="1" applyFont="1" applyFill="1" applyBorder="1" applyAlignment="1" applyProtection="1">
      <alignment/>
      <protection/>
    </xf>
    <xf numFmtId="2" fontId="15" fillId="36" borderId="10" xfId="0" applyNumberFormat="1" applyFont="1" applyFill="1" applyBorder="1" applyAlignment="1" applyProtection="1">
      <alignment/>
      <protection locked="0"/>
    </xf>
    <xf numFmtId="0" fontId="17" fillId="38" borderId="10" xfId="0" applyFont="1" applyFill="1" applyBorder="1" applyAlignment="1" applyProtection="1">
      <alignment wrapText="1"/>
      <protection/>
    </xf>
    <xf numFmtId="2" fontId="17" fillId="38" borderId="10" xfId="0" applyNumberFormat="1" applyFont="1" applyFill="1" applyBorder="1" applyAlignment="1" applyProtection="1">
      <alignment wrapText="1"/>
      <protection/>
    </xf>
    <xf numFmtId="1" fontId="17" fillId="38" borderId="14" xfId="0" applyNumberFormat="1" applyFont="1" applyFill="1" applyBorder="1" applyAlignment="1" applyProtection="1">
      <alignment wrapText="1"/>
      <protection/>
    </xf>
    <xf numFmtId="0" fontId="46" fillId="0" borderId="10" xfId="0" applyFont="1" applyBorder="1" applyAlignment="1" applyProtection="1">
      <alignment/>
      <protection/>
    </xf>
    <xf numFmtId="0" fontId="13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5" fillId="37" borderId="10" xfId="0" applyFont="1" applyFill="1" applyBorder="1" applyAlignment="1">
      <alignment wrapText="1"/>
    </xf>
    <xf numFmtId="0" fontId="61" fillId="0" borderId="0" xfId="0" applyFont="1" applyAlignment="1" applyProtection="1">
      <alignment wrapText="1"/>
      <protection/>
    </xf>
    <xf numFmtId="173" fontId="0" fillId="38" borderId="10" xfId="0" applyNumberFormat="1" applyFill="1" applyBorder="1" applyAlignment="1" applyProtection="1">
      <alignment wrapText="1"/>
      <protection/>
    </xf>
    <xf numFmtId="173" fontId="52" fillId="38" borderId="10" xfId="0" applyNumberFormat="1" applyFont="1" applyFill="1" applyBorder="1" applyAlignment="1" applyProtection="1">
      <alignment wrapText="1"/>
      <protection/>
    </xf>
    <xf numFmtId="0" fontId="39" fillId="33" borderId="10" xfId="0" applyFont="1" applyFill="1" applyBorder="1" applyAlignment="1" applyProtection="1">
      <alignment horizontal="center" wrapText="1"/>
      <protection/>
    </xf>
    <xf numFmtId="2" fontId="28" fillId="33" borderId="10" xfId="0" applyNumberFormat="1" applyFont="1" applyFill="1" applyBorder="1" applyAlignment="1" applyProtection="1">
      <alignment horizontal="center" wrapText="1"/>
      <protection/>
    </xf>
    <xf numFmtId="0" fontId="0" fillId="37" borderId="0" xfId="0" applyFill="1" applyAlignment="1" applyProtection="1">
      <alignment/>
      <protection/>
    </xf>
    <xf numFmtId="0" fontId="30" fillId="37" borderId="0" xfId="0" applyFont="1" applyFill="1" applyBorder="1" applyAlignment="1" applyProtection="1">
      <alignment/>
      <protection/>
    </xf>
    <xf numFmtId="0" fontId="15" fillId="37" borderId="0" xfId="0" applyFont="1" applyFill="1" applyBorder="1" applyAlignment="1" applyProtection="1">
      <alignment/>
      <protection/>
    </xf>
    <xf numFmtId="0" fontId="15" fillId="37" borderId="0" xfId="0" applyFont="1" applyFill="1" applyBorder="1" applyAlignment="1" applyProtection="1">
      <alignment/>
      <protection/>
    </xf>
    <xf numFmtId="0" fontId="14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>
      <alignment/>
    </xf>
    <xf numFmtId="0" fontId="32" fillId="38" borderId="10" xfId="0" applyFont="1" applyFill="1" applyBorder="1" applyAlignment="1" applyProtection="1">
      <alignment wrapText="1"/>
      <protection/>
    </xf>
    <xf numFmtId="0" fontId="32" fillId="38" borderId="11" xfId="0" applyFont="1" applyFill="1" applyBorder="1" applyAlignment="1" applyProtection="1">
      <alignment wrapText="1"/>
      <protection/>
    </xf>
    <xf numFmtId="0" fontId="32" fillId="38" borderId="10" xfId="0" applyFont="1" applyFill="1" applyBorder="1" applyAlignment="1">
      <alignment wrapText="1"/>
    </xf>
    <xf numFmtId="2" fontId="32" fillId="38" borderId="10" xfId="0" applyNumberFormat="1" applyFont="1" applyFill="1" applyBorder="1" applyAlignment="1" applyProtection="1">
      <alignment wrapText="1"/>
      <protection/>
    </xf>
    <xf numFmtId="0" fontId="32" fillId="38" borderId="10" xfId="0" applyFont="1" applyFill="1" applyBorder="1" applyAlignment="1" applyProtection="1">
      <alignment/>
      <protection/>
    </xf>
    <xf numFmtId="1" fontId="32" fillId="38" borderId="14" xfId="0" applyNumberFormat="1" applyFont="1" applyFill="1" applyBorder="1" applyAlignment="1" applyProtection="1">
      <alignment wrapText="1"/>
      <protection/>
    </xf>
    <xf numFmtId="0" fontId="20" fillId="37" borderId="10" xfId="0" applyFont="1" applyFill="1" applyBorder="1" applyAlignment="1" applyProtection="1">
      <alignment/>
      <protection/>
    </xf>
    <xf numFmtId="2" fontId="15" fillId="33" borderId="10" xfId="0" applyNumberFormat="1" applyFont="1" applyFill="1" applyBorder="1" applyAlignment="1" applyProtection="1">
      <alignment/>
      <protection/>
    </xf>
    <xf numFmtId="0" fontId="18" fillId="33" borderId="10" xfId="0" applyFont="1" applyFill="1" applyBorder="1" applyAlignment="1" applyProtection="1">
      <alignment/>
      <protection/>
    </xf>
    <xf numFmtId="2" fontId="20" fillId="37" borderId="10" xfId="0" applyNumberFormat="1" applyFont="1" applyFill="1" applyBorder="1" applyAlignment="1" applyProtection="1">
      <alignment/>
      <protection/>
    </xf>
    <xf numFmtId="0" fontId="0" fillId="42" borderId="15" xfId="0" applyFill="1" applyBorder="1" applyAlignment="1" applyProtection="1">
      <alignment/>
      <protection/>
    </xf>
    <xf numFmtId="0" fontId="14" fillId="42" borderId="10" xfId="0" applyFont="1" applyFill="1" applyBorder="1" applyAlignment="1" applyProtection="1">
      <alignment/>
      <protection/>
    </xf>
    <xf numFmtId="173" fontId="0" fillId="33" borderId="10" xfId="0" applyNumberFormat="1" applyFill="1" applyBorder="1" applyAlignment="1" applyProtection="1">
      <alignment wrapText="1"/>
      <protection/>
    </xf>
    <xf numFmtId="173" fontId="14" fillId="33" borderId="10" xfId="0" applyNumberFormat="1" applyFont="1" applyFill="1" applyBorder="1" applyAlignment="1" applyProtection="1">
      <alignment/>
      <protection/>
    </xf>
    <xf numFmtId="0" fontId="16" fillId="42" borderId="15" xfId="0" applyFont="1" applyFill="1" applyBorder="1" applyAlignment="1" applyProtection="1">
      <alignment wrapText="1"/>
      <protection/>
    </xf>
    <xf numFmtId="1" fontId="16" fillId="42" borderId="10" xfId="0" applyNumberFormat="1" applyFont="1" applyFill="1" applyBorder="1" applyAlignment="1" applyProtection="1">
      <alignment/>
      <protection/>
    </xf>
    <xf numFmtId="173" fontId="16" fillId="42" borderId="10" xfId="0" applyNumberFormat="1" applyFont="1" applyFill="1" applyBorder="1" applyAlignment="1" applyProtection="1">
      <alignment/>
      <protection/>
    </xf>
    <xf numFmtId="173" fontId="15" fillId="33" borderId="10" xfId="0" applyNumberFormat="1" applyFont="1" applyFill="1" applyBorder="1" applyAlignment="1" applyProtection="1">
      <alignment/>
      <protection/>
    </xf>
    <xf numFmtId="0" fontId="14" fillId="42" borderId="15" xfId="0" applyFont="1" applyFill="1" applyBorder="1" applyAlignment="1" applyProtection="1">
      <alignment wrapText="1"/>
      <protection/>
    </xf>
    <xf numFmtId="1" fontId="0" fillId="42" borderId="10" xfId="0" applyNumberFormat="1" applyFill="1" applyBorder="1" applyAlignment="1" applyProtection="1">
      <alignment/>
      <protection/>
    </xf>
    <xf numFmtId="1" fontId="28" fillId="33" borderId="10" xfId="0" applyNumberFormat="1" applyFont="1" applyFill="1" applyBorder="1" applyAlignment="1" applyProtection="1">
      <alignment/>
      <protection/>
    </xf>
    <xf numFmtId="173" fontId="18" fillId="33" borderId="10" xfId="0" applyNumberFormat="1" applyFont="1" applyFill="1" applyBorder="1" applyAlignment="1" applyProtection="1">
      <alignment wrapText="1"/>
      <protection/>
    </xf>
    <xf numFmtId="173" fontId="0" fillId="42" borderId="10" xfId="0" applyNumberForma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2" fontId="15" fillId="37" borderId="10" xfId="0" applyNumberFormat="1" applyFont="1" applyFill="1" applyBorder="1" applyAlignment="1" applyProtection="1">
      <alignment/>
      <protection/>
    </xf>
    <xf numFmtId="173" fontId="15" fillId="37" borderId="10" xfId="0" applyNumberFormat="1" applyFont="1" applyFill="1" applyBorder="1" applyAlignment="1" applyProtection="1">
      <alignment/>
      <protection/>
    </xf>
    <xf numFmtId="173" fontId="16" fillId="37" borderId="10" xfId="0" applyNumberFormat="1" applyFont="1" applyFill="1" applyBorder="1" applyAlignment="1" applyProtection="1">
      <alignment/>
      <protection/>
    </xf>
    <xf numFmtId="173" fontId="53" fillId="37" borderId="10" xfId="0" applyNumberFormat="1" applyFont="1" applyFill="1" applyBorder="1" applyAlignment="1" applyProtection="1">
      <alignment/>
      <protection/>
    </xf>
    <xf numFmtId="2" fontId="52" fillId="37" borderId="10" xfId="0" applyNumberFormat="1" applyFont="1" applyFill="1" applyBorder="1" applyAlignment="1" applyProtection="1">
      <alignment/>
      <protection/>
    </xf>
    <xf numFmtId="173" fontId="0" fillId="37" borderId="10" xfId="0" applyNumberFormat="1" applyFill="1" applyBorder="1" applyAlignment="1" applyProtection="1">
      <alignment/>
      <protection/>
    </xf>
    <xf numFmtId="2" fontId="62" fillId="37" borderId="10" xfId="0" applyNumberFormat="1" applyFont="1" applyFill="1" applyBorder="1" applyAlignment="1" applyProtection="1">
      <alignment/>
      <protection/>
    </xf>
    <xf numFmtId="2" fontId="63" fillId="37" borderId="10" xfId="0" applyNumberFormat="1" applyFont="1" applyFill="1" applyBorder="1" applyAlignment="1" applyProtection="1">
      <alignment/>
      <protection/>
    </xf>
    <xf numFmtId="173" fontId="53" fillId="37" borderId="10" xfId="0" applyNumberFormat="1" applyFont="1" applyFill="1" applyBorder="1" applyAlignment="1">
      <alignment/>
    </xf>
    <xf numFmtId="173" fontId="60" fillId="37" borderId="10" xfId="0" applyNumberFormat="1" applyFont="1" applyFill="1" applyBorder="1" applyAlignment="1">
      <alignment/>
    </xf>
    <xf numFmtId="0" fontId="64" fillId="0" borderId="24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wrapText="1"/>
    </xf>
    <xf numFmtId="1" fontId="12" fillId="0" borderId="0" xfId="0" applyNumberFormat="1" applyFont="1" applyAlignment="1">
      <alignment horizontal="center" wrapText="1"/>
    </xf>
    <xf numFmtId="0" fontId="64" fillId="0" borderId="0" xfId="0" applyFont="1" applyAlignment="1">
      <alignment vertical="top" wrapText="1"/>
    </xf>
    <xf numFmtId="0" fontId="64" fillId="0" borderId="0" xfId="0" applyFont="1" applyAlignment="1">
      <alignment horizontal="center" vertical="top" wrapText="1"/>
    </xf>
    <xf numFmtId="0" fontId="65" fillId="0" borderId="0" xfId="0" applyFont="1" applyAlignment="1">
      <alignment horizontal="center" vertical="top" wrapText="1"/>
    </xf>
    <xf numFmtId="0" fontId="64" fillId="0" borderId="25" xfId="0" applyFont="1" applyBorder="1" applyAlignment="1">
      <alignment vertical="top" wrapText="1"/>
    </xf>
    <xf numFmtId="0" fontId="66" fillId="0" borderId="0" xfId="0" applyFont="1" applyAlignment="1">
      <alignment horizontal="center" vertical="top" wrapText="1"/>
    </xf>
    <xf numFmtId="0" fontId="67" fillId="0" borderId="0" xfId="0" applyFont="1" applyAlignment="1">
      <alignment vertical="top" wrapText="1"/>
    </xf>
    <xf numFmtId="0" fontId="67" fillId="0" borderId="26" xfId="0" applyFont="1" applyBorder="1" applyAlignment="1">
      <alignment vertical="top" wrapText="1"/>
    </xf>
    <xf numFmtId="0" fontId="64" fillId="0" borderId="0" xfId="0" applyFont="1" applyBorder="1" applyAlignment="1">
      <alignment vertical="top" wrapText="1"/>
    </xf>
    <xf numFmtId="0" fontId="64" fillId="0" borderId="24" xfId="0" applyFont="1" applyBorder="1" applyAlignment="1">
      <alignment vertical="top" wrapText="1"/>
    </xf>
    <xf numFmtId="0" fontId="67" fillId="0" borderId="27" xfId="0" applyFont="1" applyBorder="1" applyAlignment="1">
      <alignment vertical="top" wrapText="1"/>
    </xf>
    <xf numFmtId="0" fontId="64" fillId="0" borderId="28" xfId="0" applyFont="1" applyBorder="1" applyAlignment="1">
      <alignment vertical="top" wrapText="1"/>
    </xf>
    <xf numFmtId="0" fontId="67" fillId="0" borderId="24" xfId="0" applyFont="1" applyBorder="1" applyAlignment="1">
      <alignment horizontal="center" vertical="top" wrapText="1"/>
    </xf>
    <xf numFmtId="0" fontId="39" fillId="0" borderId="27" xfId="0" applyFont="1" applyBorder="1" applyAlignment="1">
      <alignment vertical="top" wrapText="1"/>
    </xf>
    <xf numFmtId="0" fontId="64" fillId="0" borderId="29" xfId="0" applyFont="1" applyBorder="1" applyAlignment="1">
      <alignment horizontal="center" wrapText="1"/>
    </xf>
    <xf numFmtId="0" fontId="64" fillId="0" borderId="25" xfId="0" applyFont="1" applyBorder="1" applyAlignment="1">
      <alignment horizontal="center" wrapText="1"/>
    </xf>
    <xf numFmtId="0" fontId="68" fillId="0" borderId="30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top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9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9" fillId="0" borderId="26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/>
    </xf>
    <xf numFmtId="0" fontId="66" fillId="0" borderId="26" xfId="0" applyFont="1" applyBorder="1" applyAlignment="1">
      <alignment horizontal="center" vertical="top" wrapText="1"/>
    </xf>
    <xf numFmtId="0" fontId="66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66" fillId="0" borderId="0" xfId="0" applyFont="1" applyBorder="1" applyAlignment="1">
      <alignment vertical="top" wrapText="1"/>
    </xf>
    <xf numFmtId="0" fontId="66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3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/>
    </xf>
    <xf numFmtId="49" fontId="39" fillId="0" borderId="26" xfId="0" applyNumberFormat="1" applyFont="1" applyBorder="1" applyAlignment="1">
      <alignment horizontal="center" vertical="center" wrapText="1"/>
    </xf>
    <xf numFmtId="49" fontId="64" fillId="0" borderId="26" xfId="0" applyNumberFormat="1" applyFont="1" applyBorder="1" applyAlignment="1">
      <alignment horizontal="center" vertical="top" wrapText="1"/>
    </xf>
    <xf numFmtId="49" fontId="64" fillId="0" borderId="0" xfId="0" applyNumberFormat="1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 wrapText="1"/>
    </xf>
    <xf numFmtId="0" fontId="71" fillId="0" borderId="26" xfId="0" applyFont="1" applyBorder="1" applyAlignment="1">
      <alignment horizontal="justify" vertical="top" wrapText="1"/>
    </xf>
    <xf numFmtId="0" fontId="0" fillId="0" borderId="28" xfId="0" applyBorder="1" applyAlignment="1">
      <alignment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vertical="center" wrapText="1"/>
      <protection/>
    </xf>
    <xf numFmtId="0" fontId="21" fillId="0" borderId="12" xfId="0" applyFont="1" applyFill="1" applyBorder="1" applyAlignment="1" applyProtection="1">
      <alignment vertical="center" wrapText="1"/>
      <protection/>
    </xf>
    <xf numFmtId="0" fontId="21" fillId="0" borderId="13" xfId="0" applyFont="1" applyBorder="1" applyAlignment="1" applyProtection="1">
      <alignment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wrapText="1"/>
      <protection/>
    </xf>
    <xf numFmtId="0" fontId="46" fillId="0" borderId="0" xfId="0" applyFont="1" applyAlignment="1" applyProtection="1">
      <alignment wrapText="1"/>
      <protection/>
    </xf>
    <xf numFmtId="0" fontId="31" fillId="39" borderId="10" xfId="0" applyFont="1" applyFill="1" applyBorder="1" applyAlignment="1" applyProtection="1">
      <alignment wrapText="1"/>
      <protection/>
    </xf>
    <xf numFmtId="0" fontId="0" fillId="39" borderId="0" xfId="0" applyFill="1" applyAlignment="1" applyProtection="1">
      <alignment wrapText="1"/>
      <protection/>
    </xf>
    <xf numFmtId="0" fontId="33" fillId="33" borderId="10" xfId="0" applyFont="1" applyFill="1" applyBorder="1" applyAlignment="1" applyProtection="1">
      <alignment wrapText="1"/>
      <protection/>
    </xf>
    <xf numFmtId="2" fontId="16" fillId="39" borderId="10" xfId="0" applyNumberFormat="1" applyFont="1" applyFill="1" applyBorder="1" applyAlignment="1" applyProtection="1">
      <alignment wrapText="1"/>
      <protection/>
    </xf>
    <xf numFmtId="2" fontId="16" fillId="39" borderId="10" xfId="0" applyNumberFormat="1" applyFont="1" applyFill="1" applyBorder="1" applyAlignment="1">
      <alignment wrapText="1"/>
    </xf>
    <xf numFmtId="173" fontId="40" fillId="33" borderId="10" xfId="0" applyNumberFormat="1" applyFont="1" applyFill="1" applyBorder="1" applyAlignment="1" applyProtection="1">
      <alignment wrapText="1"/>
      <protection/>
    </xf>
    <xf numFmtId="173" fontId="33" fillId="33" borderId="10" xfId="0" applyNumberFormat="1" applyFont="1" applyFill="1" applyBorder="1" applyAlignment="1" applyProtection="1">
      <alignment horizontal="center" wrapText="1"/>
      <protection/>
    </xf>
    <xf numFmtId="2" fontId="33" fillId="33" borderId="11" xfId="0" applyNumberFormat="1" applyFont="1" applyFill="1" applyBorder="1" applyAlignment="1" applyProtection="1">
      <alignment/>
      <protection/>
    </xf>
    <xf numFmtId="2" fontId="54" fillId="33" borderId="10" xfId="0" applyNumberFormat="1" applyFont="1" applyFill="1" applyBorder="1" applyAlignment="1" applyProtection="1">
      <alignment wrapText="1"/>
      <protection/>
    </xf>
    <xf numFmtId="0" fontId="56" fillId="39" borderId="10" xfId="0" applyFont="1" applyFill="1" applyBorder="1" applyAlignment="1" applyProtection="1">
      <alignment wrapText="1"/>
      <protection/>
    </xf>
    <xf numFmtId="173" fontId="48" fillId="39" borderId="10" xfId="0" applyNumberFormat="1" applyFont="1" applyFill="1" applyBorder="1" applyAlignment="1" applyProtection="1">
      <alignment wrapText="1"/>
      <protection/>
    </xf>
    <xf numFmtId="173" fontId="45" fillId="39" borderId="10" xfId="0" applyNumberFormat="1" applyFont="1" applyFill="1" applyBorder="1" applyAlignment="1" applyProtection="1">
      <alignment wrapText="1"/>
      <protection/>
    </xf>
    <xf numFmtId="2" fontId="53" fillId="33" borderId="10" xfId="0" applyNumberFormat="1" applyFont="1" applyFill="1" applyBorder="1" applyAlignment="1" applyProtection="1">
      <alignment wrapText="1"/>
      <protection/>
    </xf>
    <xf numFmtId="2" fontId="33" fillId="33" borderId="10" xfId="0" applyNumberFormat="1" applyFont="1" applyFill="1" applyBorder="1" applyAlignment="1" applyProtection="1">
      <alignment wrapText="1"/>
      <protection/>
    </xf>
    <xf numFmtId="173" fontId="53" fillId="33" borderId="10" xfId="0" applyNumberFormat="1" applyFont="1" applyFill="1" applyBorder="1" applyAlignment="1" applyProtection="1">
      <alignment wrapText="1"/>
      <protection/>
    </xf>
    <xf numFmtId="0" fontId="53" fillId="39" borderId="0" xfId="0" applyFont="1" applyFill="1" applyAlignment="1" applyProtection="1">
      <alignment wrapText="1"/>
      <protection/>
    </xf>
    <xf numFmtId="173" fontId="53" fillId="39" borderId="10" xfId="0" applyNumberFormat="1" applyFont="1" applyFill="1" applyBorder="1" applyAlignment="1" applyProtection="1">
      <alignment wrapText="1"/>
      <protection/>
    </xf>
    <xf numFmtId="173" fontId="74" fillId="39" borderId="10" xfId="0" applyNumberFormat="1" applyFont="1" applyFill="1" applyBorder="1" applyAlignment="1" applyProtection="1">
      <alignment wrapText="1"/>
      <protection/>
    </xf>
    <xf numFmtId="173" fontId="74" fillId="39" borderId="14" xfId="0" applyNumberFormat="1" applyFont="1" applyFill="1" applyBorder="1" applyAlignment="1" applyProtection="1">
      <alignment wrapText="1"/>
      <protection/>
    </xf>
    <xf numFmtId="1" fontId="53" fillId="39" borderId="10" xfId="0" applyNumberFormat="1" applyFont="1" applyFill="1" applyBorder="1" applyAlignment="1" applyProtection="1">
      <alignment wrapText="1"/>
      <protection/>
    </xf>
    <xf numFmtId="173" fontId="74" fillId="39" borderId="10" xfId="0" applyNumberFormat="1" applyFont="1" applyFill="1" applyBorder="1" applyAlignment="1" applyProtection="1">
      <alignment/>
      <protection/>
    </xf>
    <xf numFmtId="1" fontId="45" fillId="33" borderId="10" xfId="0" applyNumberFormat="1" applyFont="1" applyFill="1" applyBorder="1" applyAlignment="1" applyProtection="1">
      <alignment wrapText="1"/>
      <protection/>
    </xf>
    <xf numFmtId="173" fontId="74" fillId="33" borderId="10" xfId="0" applyNumberFormat="1" applyFont="1" applyFill="1" applyBorder="1" applyAlignment="1" applyProtection="1">
      <alignment wrapText="1"/>
      <protection/>
    </xf>
    <xf numFmtId="0" fontId="44" fillId="33" borderId="10" xfId="0" applyFont="1" applyFill="1" applyBorder="1" applyAlignment="1" applyProtection="1">
      <alignment wrapText="1"/>
      <protection/>
    </xf>
    <xf numFmtId="0" fontId="31" fillId="33" borderId="10" xfId="0" applyFont="1" applyFill="1" applyBorder="1" applyAlignment="1" applyProtection="1">
      <alignment wrapText="1"/>
      <protection/>
    </xf>
    <xf numFmtId="2" fontId="33" fillId="33" borderId="10" xfId="0" applyNumberFormat="1" applyFont="1" applyFill="1" applyBorder="1" applyAlignment="1" applyProtection="1">
      <alignment horizontal="center" wrapText="1"/>
      <protection/>
    </xf>
    <xf numFmtId="0" fontId="53" fillId="37" borderId="10" xfId="0" applyFont="1" applyFill="1" applyBorder="1" applyAlignment="1" applyProtection="1">
      <alignment wrapText="1"/>
      <protection/>
    </xf>
    <xf numFmtId="0" fontId="13" fillId="35" borderId="0" xfId="0" applyFont="1" applyFill="1" applyBorder="1" applyAlignment="1" applyProtection="1">
      <alignment wrapText="1"/>
      <protection/>
    </xf>
    <xf numFmtId="2" fontId="33" fillId="33" borderId="10" xfId="0" applyNumberFormat="1" applyFont="1" applyFill="1" applyBorder="1" applyAlignment="1" applyProtection="1">
      <alignment/>
      <protection/>
    </xf>
    <xf numFmtId="173" fontId="33" fillId="37" borderId="10" xfId="0" applyNumberFormat="1" applyFont="1" applyFill="1" applyBorder="1" applyAlignment="1" applyProtection="1">
      <alignment/>
      <protection/>
    </xf>
    <xf numFmtId="2" fontId="33" fillId="37" borderId="10" xfId="0" applyNumberFormat="1" applyFont="1" applyFill="1" applyBorder="1" applyAlignment="1" applyProtection="1">
      <alignment/>
      <protection/>
    </xf>
    <xf numFmtId="173" fontId="45" fillId="37" borderId="10" xfId="0" applyNumberFormat="1" applyFont="1" applyFill="1" applyBorder="1" applyAlignment="1">
      <alignment/>
    </xf>
    <xf numFmtId="173" fontId="33" fillId="37" borderId="10" xfId="0" applyNumberFormat="1" applyFont="1" applyFill="1" applyBorder="1" applyAlignment="1">
      <alignment/>
    </xf>
    <xf numFmtId="173" fontId="75" fillId="37" borderId="10" xfId="0" applyNumberFormat="1" applyFont="1" applyFill="1" applyBorder="1" applyAlignment="1" applyProtection="1">
      <alignment/>
      <protection/>
    </xf>
    <xf numFmtId="173" fontId="29" fillId="37" borderId="10" xfId="0" applyNumberFormat="1" applyFont="1" applyFill="1" applyBorder="1" applyAlignment="1" applyProtection="1">
      <alignment/>
      <protection/>
    </xf>
    <xf numFmtId="173" fontId="0" fillId="35" borderId="0" xfId="0" applyNumberForma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 wrapText="1"/>
      <protection/>
    </xf>
    <xf numFmtId="173" fontId="58" fillId="37" borderId="10" xfId="0" applyNumberFormat="1" applyFont="1" applyFill="1" applyBorder="1" applyAlignment="1" applyProtection="1">
      <alignment/>
      <protection/>
    </xf>
    <xf numFmtId="173" fontId="50" fillId="33" borderId="10" xfId="0" applyNumberFormat="1" applyFont="1" applyFill="1" applyBorder="1" applyAlignment="1" applyProtection="1">
      <alignment wrapText="1"/>
      <protection/>
    </xf>
    <xf numFmtId="1" fontId="50" fillId="33" borderId="10" xfId="0" applyNumberFormat="1" applyFont="1" applyFill="1" applyBorder="1" applyAlignment="1" applyProtection="1">
      <alignment wrapText="1"/>
      <protection/>
    </xf>
    <xf numFmtId="173" fontId="51" fillId="33" borderId="10" xfId="0" applyNumberFormat="1" applyFont="1" applyFill="1" applyBorder="1" applyAlignment="1" applyProtection="1">
      <alignment wrapText="1"/>
      <protection/>
    </xf>
    <xf numFmtId="0" fontId="29" fillId="33" borderId="10" xfId="0" applyFont="1" applyFill="1" applyBorder="1" applyAlignment="1" applyProtection="1">
      <alignment wrapText="1"/>
      <protection/>
    </xf>
    <xf numFmtId="173" fontId="53" fillId="33" borderId="10" xfId="0" applyNumberFormat="1" applyFont="1" applyFill="1" applyBorder="1" applyAlignment="1" applyProtection="1">
      <alignment/>
      <protection/>
    </xf>
    <xf numFmtId="0" fontId="56" fillId="33" borderId="10" xfId="0" applyFont="1" applyFill="1" applyBorder="1" applyAlignment="1" applyProtection="1">
      <alignment wrapText="1"/>
      <protection/>
    </xf>
    <xf numFmtId="173" fontId="48" fillId="33" borderId="10" xfId="0" applyNumberFormat="1" applyFont="1" applyFill="1" applyBorder="1" applyAlignment="1" applyProtection="1">
      <alignment wrapText="1"/>
      <protection/>
    </xf>
    <xf numFmtId="173" fontId="45" fillId="33" borderId="10" xfId="0" applyNumberFormat="1" applyFont="1" applyFill="1" applyBorder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2" fontId="53" fillId="33" borderId="10" xfId="0" applyNumberFormat="1" applyFont="1" applyFill="1" applyBorder="1" applyAlignment="1" applyProtection="1">
      <alignment/>
      <protection/>
    </xf>
    <xf numFmtId="2" fontId="33" fillId="37" borderId="10" xfId="0" applyNumberFormat="1" applyFont="1" applyFill="1" applyBorder="1" applyAlignment="1" applyProtection="1">
      <alignment/>
      <protection/>
    </xf>
    <xf numFmtId="2" fontId="60" fillId="37" borderId="10" xfId="0" applyNumberFormat="1" applyFont="1" applyFill="1" applyBorder="1" applyAlignment="1" applyProtection="1">
      <alignment/>
      <protection/>
    </xf>
    <xf numFmtId="173" fontId="53" fillId="37" borderId="10" xfId="0" applyNumberFormat="1" applyFont="1" applyFill="1" applyBorder="1" applyAlignment="1" applyProtection="1">
      <alignment/>
      <protection/>
    </xf>
    <xf numFmtId="2" fontId="31" fillId="37" borderId="10" xfId="0" applyNumberFormat="1" applyFont="1" applyFill="1" applyBorder="1" applyAlignment="1" applyProtection="1">
      <alignment/>
      <protection/>
    </xf>
    <xf numFmtId="2" fontId="53" fillId="37" borderId="10" xfId="0" applyNumberFormat="1" applyFont="1" applyFill="1" applyBorder="1" applyAlignment="1" applyProtection="1">
      <alignment/>
      <protection/>
    </xf>
    <xf numFmtId="173" fontId="76" fillId="37" borderId="10" xfId="0" applyNumberFormat="1" applyFont="1" applyFill="1" applyBorder="1" applyAlignment="1">
      <alignment/>
    </xf>
    <xf numFmtId="173" fontId="20" fillId="43" borderId="10" xfId="0" applyNumberFormat="1" applyFont="1" applyFill="1" applyBorder="1" applyAlignment="1" applyProtection="1">
      <alignment/>
      <protection/>
    </xf>
    <xf numFmtId="173" fontId="62" fillId="37" borderId="10" xfId="0" applyNumberFormat="1" applyFont="1" applyFill="1" applyBorder="1" applyAlignment="1" applyProtection="1">
      <alignment/>
      <protection/>
    </xf>
    <xf numFmtId="2" fontId="62" fillId="37" borderId="10" xfId="0" applyNumberFormat="1" applyFont="1" applyFill="1" applyBorder="1" applyAlignment="1" applyProtection="1">
      <alignment/>
      <protection/>
    </xf>
    <xf numFmtId="2" fontId="75" fillId="37" borderId="10" xfId="0" applyNumberFormat="1" applyFont="1" applyFill="1" applyBorder="1" applyAlignment="1" applyProtection="1">
      <alignment/>
      <protection/>
    </xf>
    <xf numFmtId="173" fontId="28" fillId="35" borderId="0" xfId="0" applyNumberFormat="1" applyFont="1" applyFill="1" applyBorder="1" applyAlignment="1" applyProtection="1">
      <alignment/>
      <protection/>
    </xf>
    <xf numFmtId="0" fontId="77" fillId="0" borderId="15" xfId="0" applyFont="1" applyBorder="1" applyAlignment="1">
      <alignment horizontal="right" wrapText="1"/>
    </xf>
    <xf numFmtId="0" fontId="73" fillId="0" borderId="10" xfId="0" applyFont="1" applyFill="1" applyBorder="1" applyAlignment="1" applyProtection="1">
      <alignment horizontal="center" vertical="justify" wrapText="1"/>
      <protection/>
    </xf>
    <xf numFmtId="0" fontId="0" fillId="0" borderId="10" xfId="0" applyBorder="1" applyAlignment="1" applyProtection="1">
      <alignment/>
      <protection/>
    </xf>
    <xf numFmtId="0" fontId="68" fillId="0" borderId="0" xfId="0" applyFont="1" applyAlignment="1">
      <alignment wrapText="1"/>
    </xf>
    <xf numFmtId="0" fontId="68" fillId="0" borderId="0" xfId="0" applyFont="1" applyAlignment="1">
      <alignment horizontal="center" wrapText="1"/>
    </xf>
    <xf numFmtId="0" fontId="79" fillId="0" borderId="0" xfId="0" applyFont="1" applyAlignment="1">
      <alignment horizontal="center" wrapText="1"/>
    </xf>
    <xf numFmtId="0" fontId="78" fillId="0" borderId="10" xfId="0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0" fontId="73" fillId="0" borderId="10" xfId="0" applyFont="1" applyBorder="1" applyAlignment="1" applyProtection="1">
      <alignment/>
      <protection/>
    </xf>
    <xf numFmtId="0" fontId="73" fillId="0" borderId="10" xfId="0" applyFont="1" applyBorder="1" applyAlignment="1" applyProtection="1">
      <alignment wrapText="1"/>
      <protection/>
    </xf>
    <xf numFmtId="1" fontId="9" fillId="33" borderId="10" xfId="0" applyNumberFormat="1" applyFont="1" applyFill="1" applyBorder="1" applyAlignment="1">
      <alignment horizontal="center" wrapText="1"/>
    </xf>
    <xf numFmtId="1" fontId="84" fillId="0" borderId="10" xfId="0" applyNumberFormat="1" applyFont="1" applyBorder="1" applyAlignment="1">
      <alignment horizontal="center" wrapText="1"/>
    </xf>
    <xf numFmtId="1" fontId="80" fillId="0" borderId="10" xfId="0" applyNumberFormat="1" applyFont="1" applyBorder="1" applyAlignment="1" applyProtection="1">
      <alignment/>
      <protection/>
    </xf>
    <xf numFmtId="1" fontId="80" fillId="33" borderId="10" xfId="0" applyNumberFormat="1" applyFont="1" applyFill="1" applyBorder="1" applyAlignment="1" applyProtection="1">
      <alignment/>
      <protection/>
    </xf>
    <xf numFmtId="1" fontId="9" fillId="33" borderId="10" xfId="0" applyNumberFormat="1" applyFont="1" applyFill="1" applyBorder="1" applyAlignment="1" applyProtection="1">
      <alignment horizontal="center"/>
      <protection/>
    </xf>
    <xf numFmtId="1" fontId="10" fillId="0" borderId="10" xfId="0" applyNumberFormat="1" applyFont="1" applyBorder="1" applyAlignment="1">
      <alignment horizontal="center" wrapText="1"/>
    </xf>
    <xf numFmtId="1" fontId="9" fillId="33" borderId="10" xfId="0" applyNumberFormat="1" applyFont="1" applyFill="1" applyBorder="1" applyAlignment="1">
      <alignment horizontal="right" wrapText="1"/>
    </xf>
    <xf numFmtId="1" fontId="10" fillId="0" borderId="10" xfId="0" applyNumberFormat="1" applyFont="1" applyBorder="1" applyAlignment="1">
      <alignment horizontal="center" wrapText="1"/>
    </xf>
    <xf numFmtId="1" fontId="10" fillId="33" borderId="10" xfId="0" applyNumberFormat="1" applyFont="1" applyFill="1" applyBorder="1" applyAlignment="1">
      <alignment horizontal="center" wrapText="1"/>
    </xf>
    <xf numFmtId="1" fontId="10" fillId="0" borderId="10" xfId="0" applyNumberFormat="1" applyFont="1" applyBorder="1" applyAlignment="1">
      <alignment wrapText="1"/>
    </xf>
    <xf numFmtId="1" fontId="10" fillId="0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78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85" fillId="0" borderId="0" xfId="0" applyFont="1" applyAlignment="1" applyProtection="1">
      <alignment/>
      <protection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wrapText="1"/>
    </xf>
    <xf numFmtId="0" fontId="6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/>
    </xf>
    <xf numFmtId="0" fontId="71" fillId="0" borderId="26" xfId="0" applyFont="1" applyBorder="1" applyAlignment="1">
      <alignment horizontal="justify" vertical="top" wrapText="1"/>
    </xf>
    <xf numFmtId="0" fontId="0" fillId="0" borderId="26" xfId="0" applyBorder="1" applyAlignment="1">
      <alignment/>
    </xf>
    <xf numFmtId="0" fontId="64" fillId="0" borderId="0" xfId="0" applyFont="1" applyAlignment="1">
      <alignment horizontal="center" vertical="top" wrapText="1"/>
    </xf>
    <xf numFmtId="0" fontId="65" fillId="0" borderId="0" xfId="0" applyFont="1" applyAlignment="1">
      <alignment vertical="top" wrapText="1"/>
    </xf>
    <xf numFmtId="0" fontId="64" fillId="0" borderId="0" xfId="0" applyFont="1" applyAlignment="1">
      <alignment vertical="top" wrapText="1"/>
    </xf>
    <xf numFmtId="0" fontId="6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6" fillId="0" borderId="0" xfId="0" applyFont="1" applyAlignment="1">
      <alignment horizontal="center" vertical="top" wrapText="1"/>
    </xf>
    <xf numFmtId="0" fontId="65" fillId="0" borderId="29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0" fontId="67" fillId="0" borderId="0" xfId="0" applyFont="1" applyAlignment="1">
      <alignment vertical="top" wrapText="1"/>
    </xf>
    <xf numFmtId="0" fontId="67" fillId="0" borderId="38" xfId="0" applyFont="1" applyBorder="1" applyAlignment="1">
      <alignment vertical="top" wrapText="1"/>
    </xf>
    <xf numFmtId="0" fontId="64" fillId="0" borderId="39" xfId="0" applyFont="1" applyBorder="1" applyAlignment="1">
      <alignment vertical="top" wrapText="1"/>
    </xf>
    <xf numFmtId="0" fontId="64" fillId="0" borderId="38" xfId="0" applyFont="1" applyBorder="1" applyAlignment="1">
      <alignment vertical="top" wrapText="1"/>
    </xf>
    <xf numFmtId="0" fontId="67" fillId="0" borderId="39" xfId="0" applyFont="1" applyBorder="1" applyAlignment="1">
      <alignment vertical="top" wrapText="1"/>
    </xf>
    <xf numFmtId="0" fontId="64" fillId="0" borderId="28" xfId="0" applyFont="1" applyBorder="1" applyAlignment="1">
      <alignment vertical="top" wrapText="1"/>
    </xf>
    <xf numFmtId="0" fontId="64" fillId="0" borderId="30" xfId="0" applyFont="1" applyBorder="1" applyAlignment="1">
      <alignment vertical="top" wrapText="1"/>
    </xf>
    <xf numFmtId="0" fontId="64" fillId="0" borderId="37" xfId="0" applyFont="1" applyBorder="1" applyAlignment="1">
      <alignment vertical="top" wrapText="1"/>
    </xf>
    <xf numFmtId="0" fontId="68" fillId="0" borderId="40" xfId="0" applyFont="1" applyBorder="1" applyAlignment="1">
      <alignment vertical="top" wrapText="1"/>
    </xf>
    <xf numFmtId="0" fontId="68" fillId="0" borderId="29" xfId="0" applyFont="1" applyBorder="1" applyAlignment="1">
      <alignment vertical="top" wrapText="1"/>
    </xf>
    <xf numFmtId="0" fontId="68" fillId="0" borderId="32" xfId="0" applyFont="1" applyBorder="1" applyAlignment="1">
      <alignment vertical="top" wrapText="1"/>
    </xf>
    <xf numFmtId="0" fontId="67" fillId="0" borderId="39" xfId="0" applyFont="1" applyBorder="1" applyAlignment="1">
      <alignment horizontal="center" vertical="top" wrapText="1"/>
    </xf>
    <xf numFmtId="0" fontId="67" fillId="0" borderId="0" xfId="0" applyFont="1" applyAlignment="1">
      <alignment horizontal="center" vertical="top" wrapText="1"/>
    </xf>
    <xf numFmtId="0" fontId="67" fillId="0" borderId="38" xfId="0" applyFont="1" applyBorder="1" applyAlignment="1">
      <alignment horizontal="center" vertical="top" wrapText="1"/>
    </xf>
    <xf numFmtId="0" fontId="67" fillId="0" borderId="31" xfId="0" applyFont="1" applyBorder="1" applyAlignment="1">
      <alignment vertical="top" wrapText="1"/>
    </xf>
    <xf numFmtId="0" fontId="67" fillId="0" borderId="24" xfId="0" applyFont="1" applyBorder="1" applyAlignment="1">
      <alignment vertical="top" wrapText="1"/>
    </xf>
    <xf numFmtId="0" fontId="64" fillId="0" borderId="40" xfId="0" applyFont="1" applyBorder="1" applyAlignment="1">
      <alignment vertical="top" wrapText="1"/>
    </xf>
    <xf numFmtId="0" fontId="64" fillId="0" borderId="29" xfId="0" applyFont="1" applyBorder="1" applyAlignment="1">
      <alignment vertical="top" wrapText="1"/>
    </xf>
    <xf numFmtId="0" fontId="64" fillId="0" borderId="0" xfId="0" applyFont="1" applyBorder="1" applyAlignment="1">
      <alignment vertical="top" wrapText="1"/>
    </xf>
    <xf numFmtId="0" fontId="64" fillId="0" borderId="35" xfId="0" applyFont="1" applyBorder="1" applyAlignment="1">
      <alignment vertical="top" wrapText="1"/>
    </xf>
    <xf numFmtId="0" fontId="64" fillId="0" borderId="25" xfId="0" applyFont="1" applyBorder="1" applyAlignment="1">
      <alignment vertical="top" wrapText="1"/>
    </xf>
    <xf numFmtId="0" fontId="64" fillId="0" borderId="32" xfId="0" applyFont="1" applyBorder="1" applyAlignment="1">
      <alignment vertical="top" wrapText="1"/>
    </xf>
    <xf numFmtId="0" fontId="64" fillId="0" borderId="27" xfId="0" applyFont="1" applyBorder="1" applyAlignment="1">
      <alignment vertical="top" wrapText="1"/>
    </xf>
    <xf numFmtId="0" fontId="67" fillId="0" borderId="35" xfId="0" applyFont="1" applyBorder="1" applyAlignment="1">
      <alignment vertical="top" wrapText="1"/>
    </xf>
    <xf numFmtId="0" fontId="67" fillId="0" borderId="25" xfId="0" applyFont="1" applyBorder="1" applyAlignment="1">
      <alignment vertical="top" wrapText="1"/>
    </xf>
    <xf numFmtId="0" fontId="67" fillId="0" borderId="27" xfId="0" applyFont="1" applyBorder="1" applyAlignment="1">
      <alignment vertical="top" wrapText="1"/>
    </xf>
    <xf numFmtId="0" fontId="67" fillId="0" borderId="30" xfId="0" applyFont="1" applyBorder="1" applyAlignment="1">
      <alignment vertical="top" wrapText="1"/>
    </xf>
    <xf numFmtId="0" fontId="67" fillId="0" borderId="37" xfId="0" applyFont="1" applyBorder="1" applyAlignment="1">
      <alignment vertical="top" wrapText="1"/>
    </xf>
    <xf numFmtId="0" fontId="39" fillId="0" borderId="29" xfId="0" applyFont="1" applyBorder="1" applyAlignment="1">
      <alignment horizontal="center" vertical="top" wrapText="1"/>
    </xf>
    <xf numFmtId="0" fontId="39" fillId="0" borderId="40" xfId="0" applyFont="1" applyBorder="1" applyAlignment="1">
      <alignment vertical="top" wrapText="1"/>
    </xf>
    <xf numFmtId="0" fontId="39" fillId="0" borderId="29" xfId="0" applyFont="1" applyBorder="1" applyAlignment="1">
      <alignment vertical="top" wrapText="1"/>
    </xf>
    <xf numFmtId="0" fontId="39" fillId="0" borderId="32" xfId="0" applyFont="1" applyBorder="1" applyAlignment="1">
      <alignment vertical="top" wrapText="1"/>
    </xf>
    <xf numFmtId="0" fontId="39" fillId="0" borderId="35" xfId="0" applyFont="1" applyBorder="1" applyAlignment="1">
      <alignment vertical="top" wrapText="1"/>
    </xf>
    <xf numFmtId="0" fontId="39" fillId="0" borderId="25" xfId="0" applyFont="1" applyBorder="1" applyAlignment="1">
      <alignment vertical="top" wrapText="1"/>
    </xf>
    <xf numFmtId="0" fontId="39" fillId="0" borderId="27" xfId="0" applyFont="1" applyBorder="1" applyAlignment="1">
      <alignment vertical="top" wrapText="1"/>
    </xf>
    <xf numFmtId="0" fontId="68" fillId="0" borderId="35" xfId="0" applyFont="1" applyBorder="1" applyAlignment="1">
      <alignment vertical="top" wrapText="1"/>
    </xf>
    <xf numFmtId="0" fontId="68" fillId="0" borderId="25" xfId="0" applyFont="1" applyBorder="1" applyAlignment="1">
      <alignment vertical="top" wrapText="1"/>
    </xf>
    <xf numFmtId="0" fontId="68" fillId="0" borderId="27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37" xfId="0" applyFont="1" applyBorder="1" applyAlignment="1">
      <alignment vertical="top" wrapText="1"/>
    </xf>
    <xf numFmtId="0" fontId="39" fillId="0" borderId="28" xfId="0" applyFont="1" applyBorder="1" applyAlignment="1">
      <alignment vertical="top" wrapText="1"/>
    </xf>
    <xf numFmtId="0" fontId="39" fillId="0" borderId="30" xfId="0" applyFont="1" applyBorder="1" applyAlignment="1">
      <alignment vertical="top" wrapText="1"/>
    </xf>
    <xf numFmtId="0" fontId="39" fillId="0" borderId="37" xfId="0" applyFont="1" applyBorder="1" applyAlignment="1">
      <alignment vertical="top" wrapText="1"/>
    </xf>
    <xf numFmtId="0" fontId="69" fillId="0" borderId="29" xfId="0" applyFont="1" applyBorder="1" applyAlignment="1">
      <alignment vertical="top" wrapText="1"/>
    </xf>
    <xf numFmtId="0" fontId="69" fillId="0" borderId="25" xfId="0" applyFont="1" applyBorder="1" applyAlignment="1">
      <alignment vertical="top" wrapText="1"/>
    </xf>
    <xf numFmtId="0" fontId="14" fillId="0" borderId="40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68" fillId="0" borderId="28" xfId="0" applyFont="1" applyBorder="1" applyAlignment="1">
      <alignment vertical="top" wrapText="1"/>
    </xf>
    <xf numFmtId="0" fontId="68" fillId="0" borderId="30" xfId="0" applyFont="1" applyBorder="1" applyAlignment="1">
      <alignment vertical="top" wrapText="1"/>
    </xf>
    <xf numFmtId="0" fontId="68" fillId="0" borderId="41" xfId="0" applyFont="1" applyBorder="1" applyAlignment="1">
      <alignment vertical="top" wrapText="1"/>
    </xf>
    <xf numFmtId="0" fontId="64" fillId="0" borderId="35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top" wrapText="1"/>
    </xf>
    <xf numFmtId="0" fontId="39" fillId="0" borderId="42" xfId="0" applyFont="1" applyBorder="1" applyAlignment="1">
      <alignment vertical="top" wrapText="1"/>
    </xf>
    <xf numFmtId="0" fontId="39" fillId="0" borderId="28" xfId="0" applyFont="1" applyBorder="1" applyAlignment="1">
      <alignment horizontal="center" vertical="top" wrapText="1"/>
    </xf>
    <xf numFmtId="0" fontId="39" fillId="0" borderId="30" xfId="0" applyFont="1" applyBorder="1" applyAlignment="1">
      <alignment horizontal="center" vertical="top" wrapText="1"/>
    </xf>
    <xf numFmtId="0" fontId="39" fillId="0" borderId="37" xfId="0" applyFont="1" applyBorder="1" applyAlignment="1">
      <alignment horizontal="center" vertical="top" wrapText="1"/>
    </xf>
    <xf numFmtId="0" fontId="64" fillId="0" borderId="40" xfId="0" applyFont="1" applyBorder="1" applyAlignment="1">
      <alignment horizontal="center" wrapText="1"/>
    </xf>
    <xf numFmtId="0" fontId="64" fillId="0" borderId="29" xfId="0" applyFont="1" applyBorder="1" applyAlignment="1">
      <alignment horizontal="center" wrapText="1"/>
    </xf>
    <xf numFmtId="0" fontId="64" fillId="0" borderId="43" xfId="0" applyFont="1" applyBorder="1" applyAlignment="1">
      <alignment horizontal="center" wrapText="1"/>
    </xf>
    <xf numFmtId="0" fontId="64" fillId="0" borderId="35" xfId="0" applyFont="1" applyBorder="1" applyAlignment="1">
      <alignment horizontal="center" wrapText="1"/>
    </xf>
    <xf numFmtId="0" fontId="64" fillId="0" borderId="25" xfId="0" applyFont="1" applyBorder="1" applyAlignment="1">
      <alignment horizontal="center" wrapText="1"/>
    </xf>
    <xf numFmtId="0" fontId="64" fillId="0" borderId="44" xfId="0" applyFont="1" applyBorder="1" applyAlignment="1">
      <alignment horizontal="center" wrapText="1"/>
    </xf>
    <xf numFmtId="0" fontId="64" fillId="0" borderId="45" xfId="0" applyFont="1" applyBorder="1" applyAlignment="1">
      <alignment horizontal="center" wrapText="1"/>
    </xf>
    <xf numFmtId="0" fontId="64" fillId="0" borderId="32" xfId="0" applyFont="1" applyBorder="1" applyAlignment="1">
      <alignment horizontal="center" wrapText="1"/>
    </xf>
    <xf numFmtId="0" fontId="64" fillId="0" borderId="46" xfId="0" applyFont="1" applyBorder="1" applyAlignment="1">
      <alignment horizontal="center" wrapText="1"/>
    </xf>
    <xf numFmtId="0" fontId="64" fillId="0" borderId="27" xfId="0" applyFont="1" applyBorder="1" applyAlignment="1">
      <alignment horizontal="center" wrapText="1"/>
    </xf>
    <xf numFmtId="0" fontId="64" fillId="0" borderId="31" xfId="0" applyFont="1" applyBorder="1" applyAlignment="1">
      <alignment horizontal="center" vertical="top" wrapText="1"/>
    </xf>
    <xf numFmtId="0" fontId="64" fillId="0" borderId="24" xfId="0" applyFont="1" applyBorder="1" applyAlignment="1">
      <alignment horizontal="center" vertical="top" wrapText="1"/>
    </xf>
    <xf numFmtId="0" fontId="64" fillId="0" borderId="40" xfId="0" applyFont="1" applyBorder="1" applyAlignment="1">
      <alignment horizontal="center" vertical="top" wrapText="1"/>
    </xf>
    <xf numFmtId="0" fontId="64" fillId="0" borderId="29" xfId="0" applyFont="1" applyBorder="1" applyAlignment="1">
      <alignment horizontal="center" vertical="top" wrapText="1"/>
    </xf>
    <xf numFmtId="0" fontId="64" fillId="0" borderId="32" xfId="0" applyFont="1" applyBorder="1" applyAlignment="1">
      <alignment horizontal="center" vertical="top" wrapText="1"/>
    </xf>
    <xf numFmtId="0" fontId="68" fillId="0" borderId="37" xfId="0" applyFont="1" applyBorder="1" applyAlignment="1">
      <alignment vertical="top" wrapText="1"/>
    </xf>
    <xf numFmtId="0" fontId="64" fillId="0" borderId="0" xfId="0" applyFont="1" applyBorder="1" applyAlignment="1">
      <alignment horizontal="center" vertical="top" wrapText="1"/>
    </xf>
    <xf numFmtId="0" fontId="64" fillId="0" borderId="28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64" fillId="0" borderId="28" xfId="0" applyFont="1" applyBorder="1" applyAlignment="1">
      <alignment horizontal="center" vertical="top" wrapText="1"/>
    </xf>
    <xf numFmtId="0" fontId="64" fillId="0" borderId="30" xfId="0" applyFont="1" applyBorder="1" applyAlignment="1">
      <alignment horizontal="center" vertical="top" wrapText="1"/>
    </xf>
    <xf numFmtId="0" fontId="64" fillId="0" borderId="37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64" fillId="0" borderId="4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48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top" wrapText="1"/>
    </xf>
    <xf numFmtId="0" fontId="6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4" fillId="0" borderId="28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top" wrapText="1"/>
    </xf>
    <xf numFmtId="0" fontId="66" fillId="0" borderId="24" xfId="0" applyFont="1" applyBorder="1" applyAlignment="1">
      <alignment vertical="top" wrapText="1"/>
    </xf>
    <xf numFmtId="0" fontId="64" fillId="0" borderId="24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top" wrapText="1"/>
    </xf>
    <xf numFmtId="0" fontId="64" fillId="0" borderId="26" xfId="0" applyFont="1" applyBorder="1" applyAlignment="1">
      <alignment horizontal="center" vertical="center"/>
    </xf>
    <xf numFmtId="0" fontId="64" fillId="0" borderId="26" xfId="0" applyFont="1" applyBorder="1" applyAlignment="1">
      <alignment vertical="top" wrapText="1"/>
    </xf>
    <xf numFmtId="0" fontId="66" fillId="0" borderId="26" xfId="0" applyFont="1" applyBorder="1" applyAlignment="1">
      <alignment vertical="top" wrapText="1"/>
    </xf>
    <xf numFmtId="0" fontId="70" fillId="0" borderId="26" xfId="0" applyFont="1" applyBorder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top" wrapText="1"/>
    </xf>
    <xf numFmtId="0" fontId="14" fillId="0" borderId="4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8" fillId="0" borderId="2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66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5" fillId="0" borderId="0" xfId="0" applyFont="1" applyBorder="1" applyAlignment="1">
      <alignment horizontal="center" vertical="top" wrapText="1"/>
    </xf>
    <xf numFmtId="0" fontId="65" fillId="0" borderId="16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vertical="center" wrapText="1"/>
      <protection/>
    </xf>
    <xf numFmtId="0" fontId="21" fillId="0" borderId="12" xfId="0" applyFont="1" applyFill="1" applyBorder="1" applyAlignment="1" applyProtection="1">
      <alignment vertical="center" wrapText="1"/>
      <protection/>
    </xf>
    <xf numFmtId="0" fontId="21" fillId="0" borderId="13" xfId="0" applyFont="1" applyBorder="1" applyAlignment="1" applyProtection="1">
      <alignment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/>
      <protection/>
    </xf>
    <xf numFmtId="0" fontId="21" fillId="0" borderId="11" xfId="0" applyFont="1" applyFill="1" applyBorder="1" applyAlignment="1" applyProtection="1">
      <alignment horizontal="center" vertical="justify" wrapText="1"/>
      <protection/>
    </xf>
    <xf numFmtId="0" fontId="21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Border="1" applyAlignment="1" applyProtection="1">
      <alignment/>
      <protection/>
    </xf>
    <xf numFmtId="0" fontId="22" fillId="0" borderId="5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0" fillId="38" borderId="14" xfId="0" applyFont="1" applyFill="1" applyBorder="1" applyAlignment="1" applyProtection="1">
      <alignment wrapText="1"/>
      <protection/>
    </xf>
    <xf numFmtId="0" fontId="20" fillId="38" borderId="52" xfId="0" applyFont="1" applyFill="1" applyBorder="1" applyAlignment="1" applyProtection="1">
      <alignment wrapText="1"/>
      <protection/>
    </xf>
    <xf numFmtId="0" fontId="20" fillId="38" borderId="15" xfId="0" applyFont="1" applyFill="1" applyBorder="1" applyAlignment="1" applyProtection="1">
      <alignment wrapText="1"/>
      <protection/>
    </xf>
    <xf numFmtId="0" fontId="21" fillId="0" borderId="23" xfId="0" applyFont="1" applyFill="1" applyBorder="1" applyAlignment="1" applyProtection="1">
      <alignment horizontal="center" vertical="justify" wrapText="1"/>
      <protection/>
    </xf>
    <xf numFmtId="0" fontId="0" fillId="0" borderId="17" xfId="0" applyBorder="1" applyAlignment="1" applyProtection="1">
      <alignment horizontal="center" vertical="justify" wrapText="1"/>
      <protection/>
    </xf>
    <xf numFmtId="0" fontId="0" fillId="0" borderId="53" xfId="0" applyBorder="1" applyAlignment="1" applyProtection="1">
      <alignment horizontal="center" vertical="justify" wrapText="1"/>
      <protection/>
    </xf>
    <xf numFmtId="0" fontId="0" fillId="0" borderId="50" xfId="0" applyBorder="1" applyAlignment="1" applyProtection="1">
      <alignment horizontal="center" vertical="justify" wrapText="1"/>
      <protection/>
    </xf>
    <xf numFmtId="0" fontId="0" fillId="0" borderId="22" xfId="0" applyBorder="1" applyAlignment="1" applyProtection="1">
      <alignment horizontal="center" vertical="justify" wrapText="1"/>
      <protection/>
    </xf>
    <xf numFmtId="0" fontId="0" fillId="0" borderId="51" xfId="0" applyBorder="1" applyAlignment="1" applyProtection="1">
      <alignment horizontal="center" vertical="justify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54" xfId="0" applyFont="1" applyBorder="1" applyAlignment="1" applyProtection="1">
      <alignment/>
      <protection/>
    </xf>
    <xf numFmtId="0" fontId="21" fillId="0" borderId="17" xfId="0" applyFont="1" applyBorder="1" applyAlignment="1" applyProtection="1">
      <alignment/>
      <protection/>
    </xf>
    <xf numFmtId="0" fontId="21" fillId="0" borderId="22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/>
    </xf>
    <xf numFmtId="0" fontId="21" fillId="0" borderId="51" xfId="0" applyFont="1" applyBorder="1" applyAlignment="1" applyProtection="1">
      <alignment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wrapText="1"/>
      <protection/>
    </xf>
    <xf numFmtId="0" fontId="13" fillId="0" borderId="15" xfId="0" applyFont="1" applyBorder="1" applyAlignment="1">
      <alignment wrapText="1"/>
    </xf>
    <xf numFmtId="0" fontId="0" fillId="0" borderId="54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 vertical="center" wrapText="1"/>
      <protection/>
    </xf>
    <xf numFmtId="0" fontId="19" fillId="0" borderId="13" xfId="0" applyFont="1" applyBorder="1" applyAlignment="1" applyProtection="1">
      <alignment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22" fillId="0" borderId="53" xfId="0" applyFont="1" applyBorder="1" applyAlignment="1" applyProtection="1">
      <alignment wrapText="1"/>
      <protection/>
    </xf>
    <xf numFmtId="0" fontId="0" fillId="0" borderId="22" xfId="0" applyBorder="1" applyAlignment="1">
      <alignment wrapText="1"/>
    </xf>
    <xf numFmtId="0" fontId="28" fillId="38" borderId="14" xfId="0" applyFont="1" applyFill="1" applyBorder="1" applyAlignment="1" applyProtection="1">
      <alignment wrapText="1"/>
      <protection/>
    </xf>
    <xf numFmtId="0" fontId="28" fillId="38" borderId="52" xfId="0" applyFont="1" applyFill="1" applyBorder="1" applyAlignment="1" applyProtection="1">
      <alignment wrapText="1"/>
      <protection/>
    </xf>
    <xf numFmtId="0" fontId="28" fillId="38" borderId="15" xfId="0" applyFont="1" applyFill="1" applyBorder="1" applyAlignment="1" applyProtection="1">
      <alignment wrapText="1"/>
      <protection/>
    </xf>
    <xf numFmtId="0" fontId="16" fillId="38" borderId="14" xfId="0" applyFont="1" applyFill="1" applyBorder="1" applyAlignment="1" applyProtection="1">
      <alignment wrapText="1"/>
      <protection/>
    </xf>
    <xf numFmtId="0" fontId="16" fillId="38" borderId="52" xfId="0" applyFont="1" applyFill="1" applyBorder="1" applyAlignment="1" applyProtection="1">
      <alignment wrapText="1"/>
      <protection/>
    </xf>
    <xf numFmtId="0" fontId="16" fillId="38" borderId="15" xfId="0" applyFont="1" applyFill="1" applyBorder="1" applyAlignment="1" applyProtection="1">
      <alignment wrapText="1"/>
      <protection/>
    </xf>
    <xf numFmtId="0" fontId="16" fillId="40" borderId="14" xfId="0" applyFont="1" applyFill="1" applyBorder="1" applyAlignment="1" applyProtection="1">
      <alignment wrapText="1"/>
      <protection/>
    </xf>
    <xf numFmtId="0" fontId="16" fillId="40" borderId="52" xfId="0" applyFont="1" applyFill="1" applyBorder="1" applyAlignment="1" applyProtection="1">
      <alignment wrapText="1"/>
      <protection/>
    </xf>
    <xf numFmtId="0" fontId="16" fillId="40" borderId="15" xfId="0" applyFont="1" applyFill="1" applyBorder="1" applyAlignment="1" applyProtection="1">
      <alignment wrapText="1"/>
      <protection/>
    </xf>
    <xf numFmtId="0" fontId="19" fillId="0" borderId="0" xfId="0" applyFont="1" applyAlignment="1" applyProtection="1">
      <alignment wrapText="1"/>
      <protection/>
    </xf>
    <xf numFmtId="0" fontId="19" fillId="0" borderId="0" xfId="0" applyFont="1" applyAlignment="1">
      <alignment wrapText="1"/>
    </xf>
    <xf numFmtId="0" fontId="33" fillId="38" borderId="14" xfId="0" applyFont="1" applyFill="1" applyBorder="1" applyAlignment="1" applyProtection="1">
      <alignment wrapText="1"/>
      <protection/>
    </xf>
    <xf numFmtId="0" fontId="33" fillId="38" borderId="52" xfId="0" applyFont="1" applyFill="1" applyBorder="1" applyAlignment="1" applyProtection="1">
      <alignment wrapText="1"/>
      <protection/>
    </xf>
    <xf numFmtId="0" fontId="33" fillId="38" borderId="15" xfId="0" applyFont="1" applyFill="1" applyBorder="1" applyAlignment="1" applyProtection="1">
      <alignment wrapText="1"/>
      <protection/>
    </xf>
    <xf numFmtId="0" fontId="60" fillId="0" borderId="53" xfId="0" applyFont="1" applyBorder="1" applyAlignment="1" applyProtection="1">
      <alignment wrapText="1"/>
      <protection/>
    </xf>
    <xf numFmtId="0" fontId="60" fillId="0" borderId="0" xfId="0" applyFont="1" applyAlignment="1">
      <alignment wrapText="1"/>
    </xf>
    <xf numFmtId="0" fontId="33" fillId="40" borderId="14" xfId="0" applyFont="1" applyFill="1" applyBorder="1" applyAlignment="1" applyProtection="1">
      <alignment wrapText="1"/>
      <protection/>
    </xf>
    <xf numFmtId="0" fontId="33" fillId="40" borderId="52" xfId="0" applyFont="1" applyFill="1" applyBorder="1" applyAlignment="1" applyProtection="1">
      <alignment wrapText="1"/>
      <protection/>
    </xf>
    <xf numFmtId="0" fontId="33" fillId="40" borderId="15" xfId="0" applyFont="1" applyFill="1" applyBorder="1" applyAlignment="1" applyProtection="1">
      <alignment wrapText="1"/>
      <protection/>
    </xf>
    <xf numFmtId="0" fontId="32" fillId="38" borderId="14" xfId="0" applyFont="1" applyFill="1" applyBorder="1" applyAlignment="1" applyProtection="1">
      <alignment wrapText="1"/>
      <protection/>
    </xf>
    <xf numFmtId="0" fontId="32" fillId="38" borderId="52" xfId="0" applyFont="1" applyFill="1" applyBorder="1" applyAlignment="1" applyProtection="1">
      <alignment wrapText="1"/>
      <protection/>
    </xf>
    <xf numFmtId="0" fontId="32" fillId="38" borderId="15" xfId="0" applyFont="1" applyFill="1" applyBorder="1" applyAlignment="1" applyProtection="1">
      <alignment wrapText="1"/>
      <protection/>
    </xf>
    <xf numFmtId="0" fontId="44" fillId="38" borderId="14" xfId="0" applyFont="1" applyFill="1" applyBorder="1" applyAlignment="1" applyProtection="1">
      <alignment wrapText="1"/>
      <protection/>
    </xf>
    <xf numFmtId="0" fontId="44" fillId="38" borderId="52" xfId="0" applyFont="1" applyFill="1" applyBorder="1" applyAlignment="1" applyProtection="1">
      <alignment wrapText="1"/>
      <protection/>
    </xf>
    <xf numFmtId="0" fontId="44" fillId="38" borderId="15" xfId="0" applyFont="1" applyFill="1" applyBorder="1" applyAlignment="1" applyProtection="1">
      <alignment wrapText="1"/>
      <protection/>
    </xf>
    <xf numFmtId="0" fontId="33" fillId="0" borderId="52" xfId="0" applyFont="1" applyBorder="1" applyAlignment="1">
      <alignment wrapText="1"/>
    </xf>
    <xf numFmtId="0" fontId="33" fillId="0" borderId="15" xfId="0" applyFont="1" applyBorder="1" applyAlignment="1">
      <alignment wrapText="1"/>
    </xf>
    <xf numFmtId="0" fontId="53" fillId="38" borderId="14" xfId="0" applyFont="1" applyFill="1" applyBorder="1" applyAlignment="1" applyProtection="1">
      <alignment wrapText="1"/>
      <protection/>
    </xf>
    <xf numFmtId="0" fontId="53" fillId="38" borderId="52" xfId="0" applyFont="1" applyFill="1" applyBorder="1" applyAlignment="1" applyProtection="1">
      <alignment wrapText="1"/>
      <protection/>
    </xf>
    <xf numFmtId="0" fontId="53" fillId="38" borderId="15" xfId="0" applyFont="1" applyFill="1" applyBorder="1" applyAlignment="1" applyProtection="1">
      <alignment wrapText="1"/>
      <protection/>
    </xf>
    <xf numFmtId="0" fontId="46" fillId="0" borderId="0" xfId="0" applyFont="1" applyAlignment="1" applyProtection="1">
      <alignment wrapText="1"/>
      <protection/>
    </xf>
    <xf numFmtId="0" fontId="46" fillId="0" borderId="0" xfId="0" applyFont="1" applyAlignment="1">
      <alignment wrapText="1"/>
    </xf>
    <xf numFmtId="0" fontId="82" fillId="33" borderId="14" xfId="0" applyFont="1" applyFill="1" applyBorder="1" applyAlignment="1">
      <alignment horizontal="center" vertical="center" wrapText="1"/>
    </xf>
    <xf numFmtId="0" fontId="83" fillId="33" borderId="52" xfId="0" applyFont="1" applyFill="1" applyBorder="1" applyAlignment="1">
      <alignment/>
    </xf>
    <xf numFmtId="0" fontId="83" fillId="33" borderId="15" xfId="0" applyFont="1" applyFill="1" applyBorder="1" applyAlignment="1">
      <alignment/>
    </xf>
    <xf numFmtId="0" fontId="52" fillId="38" borderId="14" xfId="0" applyFont="1" applyFill="1" applyBorder="1" applyAlignment="1" applyProtection="1">
      <alignment wrapText="1"/>
      <protection/>
    </xf>
    <xf numFmtId="0" fontId="47" fillId="0" borderId="52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15" xfId="0" applyBorder="1" applyAlignment="1">
      <alignment wrapText="1"/>
    </xf>
    <xf numFmtId="0" fontId="20" fillId="42" borderId="16" xfId="0" applyFont="1" applyFill="1" applyBorder="1" applyAlignment="1" applyProtection="1">
      <alignment wrapText="1"/>
      <protection/>
    </xf>
    <xf numFmtId="0" fontId="0" fillId="0" borderId="16" xfId="0" applyBorder="1" applyAlignment="1">
      <alignment wrapText="1"/>
    </xf>
    <xf numFmtId="0" fontId="28" fillId="42" borderId="16" xfId="0" applyFont="1" applyFill="1" applyBorder="1" applyAlignment="1" applyProtection="1">
      <alignment wrapText="1"/>
      <protection/>
    </xf>
    <xf numFmtId="0" fontId="0" fillId="0" borderId="16" xfId="0" applyBorder="1" applyAlignment="1">
      <alignment/>
    </xf>
    <xf numFmtId="0" fontId="0" fillId="0" borderId="5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152400</xdr:rowOff>
    </xdr:from>
    <xdr:to>
      <xdr:col>0</xdr:col>
      <xdr:colOff>104775</xdr:colOff>
      <xdr:row>28</xdr:row>
      <xdr:rowOff>219075</xdr:rowOff>
    </xdr:to>
    <xdr:pic>
      <xdr:nvPicPr>
        <xdr:cNvPr id="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76975"/>
          <a:ext cx="104775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6;&#1086;&#1075;&#1072;&#1095;&#1082;&#1086;&#1074;&#1072;\&#1053;&#1086;&#1074;&#1086;&#1077;%20&#1055;&#1060;&#1061;&#1044;%20&#1085;&#1072;%202017&#1075;\&#1060;&#1054;&#1058;,%20&#1064;&#1090;&#1072;&#1090;&#1099;%20,%20&#1088;&#1077;&#1079;&#1077;&#1088;&#1074;%20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TS"/>
      <sheetName val="Штат-внебюджет (2)"/>
      <sheetName val="Штат-свод"/>
      <sheetName val="анализ лим,ФР,КР по ФЗП-внеб"/>
      <sheetName val="Штат-внебюджет"/>
      <sheetName val="Штат-бюджет"/>
      <sheetName val="анализ лим,ФР,КР по ФЗП-бюджет "/>
      <sheetName val="ФОТ, Штаты , резерв 2015"/>
    </sheetNames>
    <definedNames>
      <definedName name="Лист2.Адм_Щелчок"/>
      <definedName name="Лист2.Всп_Щелчок"/>
      <definedName name="Лист2.Обс_Щелчок"/>
      <definedName name="Лист2.Пед_Щелчок"/>
      <definedName name="Лист2.Уч_Щелчок"/>
    </definedNames>
    <sheetDataSet>
      <sheetData sheetId="5">
        <row r="156">
          <cell r="G156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"/>
  <sheetViews>
    <sheetView zoomScalePageLayoutView="0" workbookViewId="0" topLeftCell="A1">
      <selection activeCell="I13" sqref="I13"/>
    </sheetView>
  </sheetViews>
  <sheetFormatPr defaultColWidth="9.140625" defaultRowHeight="15"/>
  <sheetData>
    <row r="2" spans="1:5" ht="15">
      <c r="A2" s="432" t="s">
        <v>187</v>
      </c>
      <c r="E2" s="421"/>
    </row>
    <row r="3" spans="1:5" ht="16.5" thickBot="1">
      <c r="A3" s="433"/>
      <c r="E3" s="421"/>
    </row>
    <row r="4" spans="1:13" ht="60.75" thickBot="1">
      <c r="A4" s="391" t="s">
        <v>193</v>
      </c>
      <c r="B4" s="538" t="s">
        <v>188</v>
      </c>
      <c r="C4" s="539"/>
      <c r="D4" s="538" t="s">
        <v>189</v>
      </c>
      <c r="E4" s="538"/>
      <c r="F4" s="539"/>
      <c r="G4" s="539"/>
      <c r="H4" s="539"/>
      <c r="I4" s="540" t="s">
        <v>190</v>
      </c>
      <c r="J4" s="541"/>
      <c r="K4" s="541"/>
      <c r="L4" s="385" t="s">
        <v>191</v>
      </c>
      <c r="M4" s="435" t="s">
        <v>192</v>
      </c>
    </row>
    <row r="5" spans="1:13" ht="19.5" thickBot="1">
      <c r="A5" s="436"/>
      <c r="B5" s="542"/>
      <c r="C5" s="542"/>
      <c r="D5" s="542"/>
      <c r="E5" s="542"/>
      <c r="F5" s="543"/>
      <c r="G5" s="543"/>
      <c r="H5" s="543"/>
      <c r="I5" s="543"/>
      <c r="J5" s="543"/>
      <c r="K5" s="543"/>
      <c r="L5" s="437"/>
      <c r="M5" s="434"/>
    </row>
  </sheetData>
  <sheetProtection/>
  <mergeCells count="6">
    <mergeCell ref="B4:C4"/>
    <mergeCell ref="D4:H4"/>
    <mergeCell ref="I4:K4"/>
    <mergeCell ref="B5:C5"/>
    <mergeCell ref="D5:H5"/>
    <mergeCell ref="I5:K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4">
      <selection activeCell="E12" sqref="E12"/>
    </sheetView>
  </sheetViews>
  <sheetFormatPr defaultColWidth="9.140625" defaultRowHeight="15"/>
  <cols>
    <col min="1" max="1" width="6.28125" style="1" customWidth="1"/>
    <col min="2" max="2" width="44.28125" style="1" customWidth="1"/>
    <col min="3" max="3" width="13.57421875" style="1" customWidth="1"/>
    <col min="4" max="4" width="12.140625" style="1" customWidth="1"/>
    <col min="5" max="5" width="18.7109375" style="1" customWidth="1"/>
    <col min="6" max="16384" width="9.140625" style="1" customWidth="1"/>
  </cols>
  <sheetData>
    <row r="2" spans="1:5" ht="15" customHeight="1">
      <c r="A2" s="723" t="s">
        <v>278</v>
      </c>
      <c r="B2" s="723"/>
      <c r="C2" s="723"/>
      <c r="D2" s="723"/>
      <c r="E2" s="723"/>
    </row>
    <row r="3" spans="1:5" ht="15" customHeight="1">
      <c r="A3" s="11"/>
      <c r="B3" s="11"/>
      <c r="C3" s="11"/>
      <c r="D3" s="11"/>
      <c r="E3" s="11"/>
    </row>
    <row r="4" spans="1:5" ht="15" customHeight="1">
      <c r="A4" s="723" t="s">
        <v>234</v>
      </c>
      <c r="B4" s="723"/>
      <c r="C4" s="723"/>
      <c r="D4" s="723"/>
      <c r="E4" s="723"/>
    </row>
    <row r="6" spans="1:5" ht="15" customHeight="1">
      <c r="A6" s="723" t="s">
        <v>235</v>
      </c>
      <c r="B6" s="723"/>
      <c r="C6" s="723"/>
      <c r="D6" s="723"/>
      <c r="E6" s="723"/>
    </row>
    <row r="8" spans="1:5" ht="15" customHeight="1">
      <c r="A8" s="723" t="s">
        <v>262</v>
      </c>
      <c r="B8" s="723"/>
      <c r="C8" s="723"/>
      <c r="D8" s="723"/>
      <c r="E8" s="723"/>
    </row>
    <row r="10" spans="1:5" ht="90" customHeight="1">
      <c r="A10" s="2" t="s">
        <v>193</v>
      </c>
      <c r="B10" s="2" t="s">
        <v>263</v>
      </c>
      <c r="C10" s="2" t="s">
        <v>264</v>
      </c>
      <c r="D10" s="2" t="s">
        <v>265</v>
      </c>
      <c r="E10" s="3" t="s">
        <v>272</v>
      </c>
    </row>
    <row r="11" spans="1:5" ht="15">
      <c r="A11" s="2">
        <v>1</v>
      </c>
      <c r="B11" s="2">
        <v>2</v>
      </c>
      <c r="C11" s="2">
        <v>3</v>
      </c>
      <c r="D11" s="2">
        <v>4</v>
      </c>
      <c r="E11" s="3">
        <v>5</v>
      </c>
    </row>
    <row r="12" spans="1:5" ht="15">
      <c r="A12" s="2" t="s">
        <v>247</v>
      </c>
      <c r="B12" s="12" t="s">
        <v>266</v>
      </c>
      <c r="C12" s="3"/>
      <c r="D12" s="3"/>
      <c r="E12" s="3">
        <v>100</v>
      </c>
    </row>
    <row r="13" spans="1:5" ht="30">
      <c r="A13" s="14"/>
      <c r="B13" s="12" t="s">
        <v>267</v>
      </c>
      <c r="C13" s="3"/>
      <c r="D13" s="3"/>
      <c r="E13" s="3"/>
    </row>
    <row r="14" spans="1:5" ht="30">
      <c r="A14" s="2"/>
      <c r="B14" s="12" t="s">
        <v>268</v>
      </c>
      <c r="C14" s="3"/>
      <c r="D14" s="3"/>
      <c r="E14" s="3"/>
    </row>
    <row r="15" spans="1:5" ht="29.25" customHeight="1">
      <c r="A15" s="14"/>
      <c r="B15" s="12" t="s">
        <v>269</v>
      </c>
      <c r="C15" s="3"/>
      <c r="D15" s="3"/>
      <c r="E15" s="3"/>
    </row>
    <row r="16" spans="1:5" ht="30">
      <c r="A16" s="14"/>
      <c r="B16" s="12" t="s">
        <v>268</v>
      </c>
      <c r="C16" s="2"/>
      <c r="D16" s="3"/>
      <c r="E16" s="3"/>
    </row>
    <row r="17" spans="1:5" ht="15">
      <c r="A17" s="14"/>
      <c r="B17" s="12"/>
      <c r="C17" s="2"/>
      <c r="D17" s="3"/>
      <c r="E17" s="3"/>
    </row>
    <row r="18" spans="1:5" ht="15">
      <c r="A18" s="14"/>
      <c r="B18" s="12"/>
      <c r="C18" s="2"/>
      <c r="D18" s="3"/>
      <c r="E18" s="3"/>
    </row>
    <row r="19" spans="1:5" ht="15">
      <c r="A19" s="13"/>
      <c r="B19" s="12" t="s">
        <v>205</v>
      </c>
      <c r="C19" s="3"/>
      <c r="D19" s="3" t="s">
        <v>206</v>
      </c>
      <c r="E19" s="3"/>
    </row>
    <row r="21" spans="1:4" ht="18" customHeight="1">
      <c r="A21" s="729"/>
      <c r="B21" s="729"/>
      <c r="C21" s="729"/>
      <c r="D21" s="729"/>
    </row>
    <row r="22" spans="1:5" ht="15">
      <c r="A22" s="723" t="s">
        <v>270</v>
      </c>
      <c r="B22" s="723"/>
      <c r="C22" s="723"/>
      <c r="D22" s="723"/>
      <c r="E22" s="723"/>
    </row>
    <row r="24" spans="1:5" ht="60">
      <c r="A24" s="2" t="s">
        <v>193</v>
      </c>
      <c r="B24" s="2" t="s">
        <v>263</v>
      </c>
      <c r="C24" s="3" t="s">
        <v>271</v>
      </c>
      <c r="D24" s="2" t="s">
        <v>265</v>
      </c>
      <c r="E24" s="3" t="s">
        <v>273</v>
      </c>
    </row>
    <row r="25" spans="1:5" ht="15">
      <c r="A25" s="3">
        <v>1</v>
      </c>
      <c r="B25" s="3">
        <v>2</v>
      </c>
      <c r="C25" s="3">
        <v>3</v>
      </c>
      <c r="D25" s="3">
        <v>4</v>
      </c>
      <c r="E25" s="3">
        <v>5</v>
      </c>
    </row>
    <row r="26" spans="1:5" ht="15">
      <c r="A26" s="3" t="s">
        <v>247</v>
      </c>
      <c r="B26" s="15" t="s">
        <v>274</v>
      </c>
      <c r="C26" s="3"/>
      <c r="D26" s="3"/>
      <c r="E26" s="3"/>
    </row>
    <row r="27" spans="1:5" ht="15">
      <c r="A27" s="3"/>
      <c r="B27" s="15" t="s">
        <v>275</v>
      </c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12" t="s">
        <v>205</v>
      </c>
      <c r="C29" s="3" t="s">
        <v>206</v>
      </c>
      <c r="D29" s="3" t="s">
        <v>206</v>
      </c>
      <c r="E29" s="3"/>
    </row>
  </sheetData>
  <sheetProtection/>
  <mergeCells count="6">
    <mergeCell ref="A22:E22"/>
    <mergeCell ref="A2:E2"/>
    <mergeCell ref="A4:E4"/>
    <mergeCell ref="A6:E6"/>
    <mergeCell ref="A21:D21"/>
    <mergeCell ref="A8:E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28125" style="1" customWidth="1"/>
    <col min="2" max="2" width="44.28125" style="1" customWidth="1"/>
    <col min="3" max="3" width="13.57421875" style="1" customWidth="1"/>
    <col min="4" max="4" width="12.140625" style="1" customWidth="1"/>
    <col min="5" max="5" width="18.7109375" style="1" customWidth="1"/>
    <col min="6" max="16384" width="9.140625" style="1" customWidth="1"/>
  </cols>
  <sheetData>
    <row r="2" spans="1:5" ht="15" customHeight="1">
      <c r="A2" s="723" t="s">
        <v>276</v>
      </c>
      <c r="B2" s="723"/>
      <c r="C2" s="723"/>
      <c r="D2" s="723"/>
      <c r="E2" s="723"/>
    </row>
    <row r="3" spans="1:5" ht="15" customHeight="1">
      <c r="A3" s="11"/>
      <c r="B3" s="11"/>
      <c r="C3" s="11"/>
      <c r="D3" s="11"/>
      <c r="E3" s="11"/>
    </row>
    <row r="4" spans="1:5" ht="15" customHeight="1">
      <c r="A4" s="723" t="s">
        <v>234</v>
      </c>
      <c r="B4" s="723"/>
      <c r="C4" s="723"/>
      <c r="D4" s="723"/>
      <c r="E4" s="723"/>
    </row>
    <row r="6" spans="1:5" ht="15" customHeight="1">
      <c r="A6" s="723" t="s">
        <v>235</v>
      </c>
      <c r="B6" s="723"/>
      <c r="C6" s="723"/>
      <c r="D6" s="723"/>
      <c r="E6" s="723"/>
    </row>
    <row r="9" spans="1:5" ht="90" customHeight="1">
      <c r="A9" s="2" t="s">
        <v>193</v>
      </c>
      <c r="B9" s="2" t="s">
        <v>263</v>
      </c>
      <c r="C9" s="2" t="s">
        <v>264</v>
      </c>
      <c r="D9" s="2" t="s">
        <v>265</v>
      </c>
      <c r="E9" s="2" t="s">
        <v>279</v>
      </c>
    </row>
    <row r="10" spans="1:5" ht="15">
      <c r="A10" s="2">
        <v>1</v>
      </c>
      <c r="B10" s="2">
        <v>2</v>
      </c>
      <c r="C10" s="2">
        <v>3</v>
      </c>
      <c r="D10" s="2">
        <v>4</v>
      </c>
      <c r="E10" s="3">
        <v>5</v>
      </c>
    </row>
    <row r="11" spans="1:5" ht="15">
      <c r="A11" s="2" t="s">
        <v>247</v>
      </c>
      <c r="B11" s="12" t="s">
        <v>280</v>
      </c>
      <c r="C11" s="3"/>
      <c r="D11" s="3"/>
      <c r="E11" s="3">
        <v>25</v>
      </c>
    </row>
    <row r="12" spans="1:5" ht="15">
      <c r="A12" s="14"/>
      <c r="B12" s="12" t="s">
        <v>281</v>
      </c>
      <c r="C12" s="3"/>
      <c r="D12" s="3"/>
      <c r="E12" s="3"/>
    </row>
    <row r="13" spans="1:5" ht="15">
      <c r="A13" s="2"/>
      <c r="B13" s="12"/>
      <c r="C13" s="3"/>
      <c r="D13" s="3"/>
      <c r="E13" s="3"/>
    </row>
    <row r="14" spans="1:5" ht="29.25" customHeight="1">
      <c r="A14" s="14" t="s">
        <v>246</v>
      </c>
      <c r="B14" s="12" t="s">
        <v>282</v>
      </c>
      <c r="C14" s="3"/>
      <c r="D14" s="3"/>
      <c r="E14" s="3"/>
    </row>
    <row r="15" spans="1:5" ht="15">
      <c r="A15" s="14"/>
      <c r="B15" s="12" t="s">
        <v>283</v>
      </c>
      <c r="C15" s="2"/>
      <c r="D15" s="3"/>
      <c r="E15" s="3"/>
    </row>
    <row r="16" spans="1:5" ht="15">
      <c r="A16" s="14"/>
      <c r="B16" s="12"/>
      <c r="C16" s="2"/>
      <c r="D16" s="3"/>
      <c r="E16" s="3"/>
    </row>
    <row r="17" spans="1:5" ht="15">
      <c r="A17" s="14"/>
      <c r="B17" s="12"/>
      <c r="C17" s="2"/>
      <c r="D17" s="3"/>
      <c r="E17" s="3"/>
    </row>
    <row r="18" spans="1:5" ht="15">
      <c r="A18" s="13"/>
      <c r="B18" s="12" t="s">
        <v>205</v>
      </c>
      <c r="C18" s="3" t="s">
        <v>206</v>
      </c>
      <c r="D18" s="3" t="s">
        <v>206</v>
      </c>
      <c r="E18" s="3"/>
    </row>
    <row r="20" spans="1:4" ht="18" customHeight="1">
      <c r="A20" s="729"/>
      <c r="B20" s="729"/>
      <c r="C20" s="729"/>
      <c r="D20" s="729"/>
    </row>
  </sheetData>
  <sheetProtection/>
  <mergeCells count="4">
    <mergeCell ref="A2:E2"/>
    <mergeCell ref="A4:E4"/>
    <mergeCell ref="A6:E6"/>
    <mergeCell ref="A20:D2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6.28125" style="1" customWidth="1"/>
    <col min="2" max="2" width="48.28125" style="1" customWidth="1"/>
    <col min="3" max="3" width="15.421875" style="1" customWidth="1"/>
    <col min="4" max="4" width="13.8515625" style="1" customWidth="1"/>
    <col min="5" max="5" width="14.00390625" style="1" customWidth="1"/>
    <col min="6" max="16384" width="9.140625" style="1" customWidth="1"/>
  </cols>
  <sheetData>
    <row r="2" spans="1:5" ht="15" customHeight="1">
      <c r="A2" s="723" t="s">
        <v>284</v>
      </c>
      <c r="B2" s="723"/>
      <c r="C2" s="723"/>
      <c r="D2" s="723"/>
      <c r="E2" s="723"/>
    </row>
    <row r="3" spans="1:5" ht="15" customHeight="1">
      <c r="A3" s="11"/>
      <c r="B3" s="11"/>
      <c r="C3" s="11"/>
      <c r="D3" s="11"/>
      <c r="E3" s="11"/>
    </row>
    <row r="4" spans="1:5" ht="15" customHeight="1">
      <c r="A4" s="723" t="s">
        <v>234</v>
      </c>
      <c r="B4" s="723"/>
      <c r="C4" s="723"/>
      <c r="D4" s="723"/>
      <c r="E4" s="723"/>
    </row>
    <row r="6" spans="1:5" ht="15" customHeight="1">
      <c r="A6" s="723" t="s">
        <v>235</v>
      </c>
      <c r="B6" s="723"/>
      <c r="C6" s="723"/>
      <c r="D6" s="723"/>
      <c r="E6" s="723"/>
    </row>
    <row r="9" spans="1:5" ht="90" customHeight="1">
      <c r="A9" s="2" t="s">
        <v>193</v>
      </c>
      <c r="B9" s="2" t="s">
        <v>258</v>
      </c>
      <c r="C9" s="2" t="s">
        <v>259</v>
      </c>
      <c r="D9" s="2" t="s">
        <v>260</v>
      </c>
      <c r="E9" s="2" t="s">
        <v>285</v>
      </c>
    </row>
    <row r="10" spans="1:5" ht="15">
      <c r="A10" s="2">
        <v>1</v>
      </c>
      <c r="B10" s="2">
        <v>2</v>
      </c>
      <c r="C10" s="2">
        <v>3</v>
      </c>
      <c r="D10" s="2">
        <v>4</v>
      </c>
      <c r="E10" s="3">
        <v>5</v>
      </c>
    </row>
    <row r="11" spans="1:5" ht="15">
      <c r="A11" s="2"/>
      <c r="B11" s="12"/>
      <c r="C11" s="3"/>
      <c r="D11" s="3"/>
      <c r="E11" s="3"/>
    </row>
    <row r="12" spans="1:5" ht="15">
      <c r="A12" s="14"/>
      <c r="B12" s="12"/>
      <c r="C12" s="3"/>
      <c r="D12" s="3"/>
      <c r="E12" s="3"/>
    </row>
    <row r="13" spans="1:5" ht="15">
      <c r="A13" s="2"/>
      <c r="B13" s="12"/>
      <c r="C13" s="3"/>
      <c r="D13" s="3"/>
      <c r="E13" s="3"/>
    </row>
    <row r="14" spans="1:5" ht="29.25" customHeight="1">
      <c r="A14" s="14"/>
      <c r="B14" s="12"/>
      <c r="C14" s="3"/>
      <c r="D14" s="3"/>
      <c r="E14" s="3"/>
    </row>
    <row r="15" spans="1:5" ht="15">
      <c r="A15" s="14"/>
      <c r="B15" s="12"/>
      <c r="C15" s="2"/>
      <c r="D15" s="3"/>
      <c r="E15" s="3"/>
    </row>
    <row r="16" spans="1:5" ht="15">
      <c r="A16" s="14"/>
      <c r="B16" s="12"/>
      <c r="C16" s="2"/>
      <c r="D16" s="3"/>
      <c r="E16" s="3"/>
    </row>
    <row r="17" spans="1:5" ht="15">
      <c r="A17" s="14"/>
      <c r="B17" s="12"/>
      <c r="C17" s="2"/>
      <c r="D17" s="3"/>
      <c r="E17" s="3"/>
    </row>
    <row r="18" spans="1:5" ht="15">
      <c r="A18" s="13"/>
      <c r="B18" s="12" t="s">
        <v>205</v>
      </c>
      <c r="C18" s="3" t="s">
        <v>206</v>
      </c>
      <c r="D18" s="3" t="s">
        <v>206</v>
      </c>
      <c r="E18" s="3"/>
    </row>
    <row r="20" spans="1:4" ht="18" customHeight="1">
      <c r="A20" s="729"/>
      <c r="B20" s="729"/>
      <c r="C20" s="729"/>
      <c r="D20" s="729"/>
    </row>
  </sheetData>
  <sheetProtection/>
  <mergeCells count="4">
    <mergeCell ref="A2:E2"/>
    <mergeCell ref="A4:E4"/>
    <mergeCell ref="A6:E6"/>
    <mergeCell ref="A20:D2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28125" style="1" customWidth="1"/>
    <col min="2" max="2" width="48.28125" style="1" customWidth="1"/>
    <col min="3" max="3" width="15.421875" style="1" customWidth="1"/>
    <col min="4" max="4" width="13.8515625" style="1" customWidth="1"/>
    <col min="5" max="5" width="14.00390625" style="1" customWidth="1"/>
    <col min="6" max="16384" width="9.140625" style="1" customWidth="1"/>
  </cols>
  <sheetData>
    <row r="2" spans="1:5" ht="15" customHeight="1">
      <c r="A2" s="723" t="s">
        <v>286</v>
      </c>
      <c r="B2" s="723"/>
      <c r="C2" s="723"/>
      <c r="D2" s="723"/>
      <c r="E2" s="723"/>
    </row>
    <row r="3" spans="1:5" ht="15" customHeight="1">
      <c r="A3" s="11"/>
      <c r="B3" s="11"/>
      <c r="C3" s="11"/>
      <c r="D3" s="11"/>
      <c r="E3" s="11"/>
    </row>
    <row r="4" spans="1:5" ht="15" customHeight="1">
      <c r="A4" s="723" t="s">
        <v>234</v>
      </c>
      <c r="B4" s="723"/>
      <c r="C4" s="723"/>
      <c r="D4" s="723"/>
      <c r="E4" s="723"/>
    </row>
    <row r="6" spans="1:5" ht="15" customHeight="1">
      <c r="A6" s="723" t="s">
        <v>235</v>
      </c>
      <c r="B6" s="723"/>
      <c r="C6" s="723"/>
      <c r="D6" s="723"/>
      <c r="E6" s="723"/>
    </row>
    <row r="9" spans="1:5" ht="90" customHeight="1">
      <c r="A9" s="2" t="s">
        <v>193</v>
      </c>
      <c r="B9" s="2" t="s">
        <v>258</v>
      </c>
      <c r="C9" s="2" t="s">
        <v>259</v>
      </c>
      <c r="D9" s="2" t="s">
        <v>260</v>
      </c>
      <c r="E9" s="2" t="s">
        <v>285</v>
      </c>
    </row>
    <row r="10" spans="1:5" ht="15">
      <c r="A10" s="2">
        <v>1</v>
      </c>
      <c r="B10" s="2">
        <v>2</v>
      </c>
      <c r="C10" s="2">
        <v>3</v>
      </c>
      <c r="D10" s="2">
        <v>4</v>
      </c>
      <c r="E10" s="3">
        <v>5</v>
      </c>
    </row>
    <row r="11" spans="1:5" ht="30">
      <c r="A11" s="2" t="s">
        <v>247</v>
      </c>
      <c r="B11" s="12" t="s">
        <v>287</v>
      </c>
      <c r="C11" s="3"/>
      <c r="D11" s="3"/>
      <c r="E11" s="3"/>
    </row>
    <row r="12" spans="1:5" ht="15">
      <c r="A12" s="14"/>
      <c r="B12" s="12"/>
      <c r="C12" s="3"/>
      <c r="D12" s="3"/>
      <c r="E12" s="3"/>
    </row>
    <row r="13" spans="1:5" ht="15">
      <c r="A13" s="2"/>
      <c r="B13" s="12"/>
      <c r="C13" s="3"/>
      <c r="D13" s="3"/>
      <c r="E13" s="3"/>
    </row>
    <row r="14" spans="1:5" ht="29.25" customHeight="1">
      <c r="A14" s="14"/>
      <c r="B14" s="12"/>
      <c r="C14" s="3"/>
      <c r="D14" s="3"/>
      <c r="E14" s="3"/>
    </row>
    <row r="15" spans="1:5" ht="15">
      <c r="A15" s="14"/>
      <c r="B15" s="12"/>
      <c r="C15" s="2"/>
      <c r="D15" s="3"/>
      <c r="E15" s="3"/>
    </row>
    <row r="16" spans="1:5" ht="15">
      <c r="A16" s="14"/>
      <c r="B16" s="12"/>
      <c r="C16" s="2"/>
      <c r="D16" s="3"/>
      <c r="E16" s="3"/>
    </row>
    <row r="17" spans="1:5" ht="15">
      <c r="A17" s="14"/>
      <c r="B17" s="12"/>
      <c r="C17" s="2"/>
      <c r="D17" s="3"/>
      <c r="E17" s="3"/>
    </row>
    <row r="18" spans="1:5" ht="15">
      <c r="A18" s="13"/>
      <c r="B18" s="12" t="s">
        <v>205</v>
      </c>
      <c r="C18" s="3" t="s">
        <v>206</v>
      </c>
      <c r="D18" s="3" t="s">
        <v>206</v>
      </c>
      <c r="E18" s="3"/>
    </row>
    <row r="20" spans="1:4" ht="18" customHeight="1">
      <c r="A20" s="729"/>
      <c r="B20" s="729"/>
      <c r="C20" s="729"/>
      <c r="D20" s="729"/>
    </row>
  </sheetData>
  <sheetProtection/>
  <mergeCells count="4">
    <mergeCell ref="A2:E2"/>
    <mergeCell ref="A4:E4"/>
    <mergeCell ref="A6:E6"/>
    <mergeCell ref="A20:D2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6.28125" style="1" customWidth="1"/>
    <col min="2" max="2" width="51.57421875" style="1" customWidth="1"/>
    <col min="3" max="3" width="15.421875" style="1" customWidth="1"/>
    <col min="4" max="5" width="13.8515625" style="1" customWidth="1"/>
    <col min="6" max="6" width="14.00390625" style="1" customWidth="1"/>
    <col min="7" max="16384" width="9.140625" style="1" customWidth="1"/>
  </cols>
  <sheetData>
    <row r="2" spans="1:6" ht="15" customHeight="1">
      <c r="A2" s="723" t="s">
        <v>288</v>
      </c>
      <c r="B2" s="723"/>
      <c r="C2" s="723"/>
      <c r="D2" s="723"/>
      <c r="E2" s="723"/>
      <c r="F2" s="723"/>
    </row>
    <row r="3" spans="1:6" ht="15" customHeight="1">
      <c r="A3" s="11"/>
      <c r="B3" s="11"/>
      <c r="C3" s="11"/>
      <c r="D3" s="11"/>
      <c r="E3" s="11"/>
      <c r="F3" s="11"/>
    </row>
    <row r="4" spans="1:6" ht="15" customHeight="1">
      <c r="A4" s="723" t="s">
        <v>234</v>
      </c>
      <c r="B4" s="723"/>
      <c r="C4" s="723"/>
      <c r="D4" s="723"/>
      <c r="E4" s="723"/>
      <c r="F4" s="723"/>
    </row>
    <row r="6" spans="1:6" ht="15" customHeight="1">
      <c r="A6" s="723" t="s">
        <v>235</v>
      </c>
      <c r="B6" s="723"/>
      <c r="C6" s="723"/>
      <c r="D6" s="723"/>
      <c r="E6" s="723"/>
      <c r="F6" s="723"/>
    </row>
    <row r="8" spans="1:6" ht="15">
      <c r="A8" s="723" t="s">
        <v>300</v>
      </c>
      <c r="B8" s="723"/>
      <c r="C8" s="723"/>
      <c r="D8" s="723"/>
      <c r="E8" s="723"/>
      <c r="F8" s="723"/>
    </row>
    <row r="10" spans="1:6" ht="90" customHeight="1">
      <c r="A10" s="2" t="s">
        <v>193</v>
      </c>
      <c r="B10" s="2" t="s">
        <v>213</v>
      </c>
      <c r="C10" s="2" t="s">
        <v>289</v>
      </c>
      <c r="D10" s="2" t="s">
        <v>290</v>
      </c>
      <c r="E10" s="2" t="s">
        <v>291</v>
      </c>
      <c r="F10" s="2" t="s">
        <v>292</v>
      </c>
    </row>
    <row r="11" spans="1:6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3">
        <v>6</v>
      </c>
    </row>
    <row r="12" spans="1:6" ht="15">
      <c r="A12" s="2"/>
      <c r="B12" s="12" t="s">
        <v>293</v>
      </c>
      <c r="C12" s="3">
        <v>1</v>
      </c>
      <c r="D12" s="3">
        <v>12</v>
      </c>
      <c r="E12" s="3">
        <v>1607.46</v>
      </c>
      <c r="F12" s="3">
        <v>29289.52</v>
      </c>
    </row>
    <row r="13" spans="1:6" ht="30">
      <c r="A13" s="14"/>
      <c r="B13" s="12" t="s">
        <v>294</v>
      </c>
      <c r="C13" s="3">
        <v>1</v>
      </c>
      <c r="D13" s="3">
        <v>12</v>
      </c>
      <c r="E13" s="3">
        <v>100</v>
      </c>
      <c r="F13" s="3">
        <v>1200</v>
      </c>
    </row>
    <row r="14" spans="1:6" ht="15">
      <c r="A14" s="2"/>
      <c r="B14" s="12" t="s">
        <v>295</v>
      </c>
      <c r="C14" s="3"/>
      <c r="D14" s="3"/>
      <c r="E14" s="3"/>
      <c r="F14" s="3"/>
    </row>
    <row r="15" spans="1:6" ht="29.25" customHeight="1">
      <c r="A15" s="14"/>
      <c r="B15" s="12" t="s">
        <v>359</v>
      </c>
      <c r="C15" s="3"/>
      <c r="D15" s="3"/>
      <c r="E15" s="3"/>
      <c r="F15" s="3"/>
    </row>
    <row r="16" spans="1:6" ht="30">
      <c r="A16" s="14"/>
      <c r="B16" s="12" t="s">
        <v>296</v>
      </c>
      <c r="C16" s="2"/>
      <c r="D16" s="3"/>
      <c r="E16" s="3"/>
      <c r="F16" s="3"/>
    </row>
    <row r="17" spans="1:6" ht="15">
      <c r="A17" s="14"/>
      <c r="B17" s="12" t="s">
        <v>297</v>
      </c>
      <c r="C17" s="2"/>
      <c r="D17" s="3"/>
      <c r="E17" s="3"/>
      <c r="F17" s="3"/>
    </row>
    <row r="18" spans="1:6" ht="15">
      <c r="A18" s="14"/>
      <c r="B18" s="12" t="s">
        <v>298</v>
      </c>
      <c r="C18" s="2">
        <v>1</v>
      </c>
      <c r="D18" s="3">
        <v>12</v>
      </c>
      <c r="E18" s="3">
        <v>1787.7</v>
      </c>
      <c r="F18" s="3">
        <v>29510.48</v>
      </c>
    </row>
    <row r="19" spans="1:6" ht="15">
      <c r="A19" s="14"/>
      <c r="B19" s="12" t="s">
        <v>299</v>
      </c>
      <c r="C19" s="2"/>
      <c r="D19" s="3"/>
      <c r="E19" s="3"/>
      <c r="F19" s="3"/>
    </row>
    <row r="20" spans="1:6" ht="15">
      <c r="A20" s="14"/>
      <c r="B20" s="12"/>
      <c r="C20" s="2"/>
      <c r="D20" s="3"/>
      <c r="E20" s="3"/>
      <c r="F20" s="3"/>
    </row>
    <row r="21" spans="1:6" ht="15">
      <c r="A21" s="14"/>
      <c r="B21" s="12"/>
      <c r="C21" s="2"/>
      <c r="D21" s="3"/>
      <c r="E21" s="3"/>
      <c r="F21" s="3"/>
    </row>
    <row r="22" spans="1:6" ht="15">
      <c r="A22" s="13"/>
      <c r="B22" s="12" t="s">
        <v>205</v>
      </c>
      <c r="C22" s="3" t="s">
        <v>206</v>
      </c>
      <c r="D22" s="3" t="s">
        <v>206</v>
      </c>
      <c r="E22" s="3" t="s">
        <v>206</v>
      </c>
      <c r="F22" s="3">
        <v>60000</v>
      </c>
    </row>
    <row r="24" spans="1:5" ht="18" customHeight="1">
      <c r="A24" s="729"/>
      <c r="B24" s="729"/>
      <c r="C24" s="729"/>
      <c r="D24" s="729"/>
      <c r="E24" s="4"/>
    </row>
  </sheetData>
  <sheetProtection/>
  <mergeCells count="5">
    <mergeCell ref="A2:F2"/>
    <mergeCell ref="A4:F4"/>
    <mergeCell ref="A6:F6"/>
    <mergeCell ref="A24:D24"/>
    <mergeCell ref="A8:F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6.28125" style="1" customWidth="1"/>
    <col min="2" max="2" width="48.8515625" style="1" customWidth="1"/>
    <col min="3" max="3" width="15.421875" style="1" customWidth="1"/>
    <col min="4" max="4" width="13.8515625" style="1" customWidth="1"/>
    <col min="5" max="5" width="14.00390625" style="1" customWidth="1"/>
    <col min="6" max="16384" width="9.140625" style="1" customWidth="1"/>
  </cols>
  <sheetData>
    <row r="2" spans="1:5" ht="15" customHeight="1">
      <c r="A2" s="723" t="s">
        <v>288</v>
      </c>
      <c r="B2" s="723"/>
      <c r="C2" s="723"/>
      <c r="D2" s="723"/>
      <c r="E2" s="723"/>
    </row>
    <row r="3" spans="1:5" ht="15" customHeight="1">
      <c r="A3" s="11"/>
      <c r="B3" s="11"/>
      <c r="C3" s="11"/>
      <c r="D3" s="11"/>
      <c r="E3" s="11"/>
    </row>
    <row r="4" spans="1:5" ht="15" customHeight="1">
      <c r="A4" s="723" t="s">
        <v>234</v>
      </c>
      <c r="B4" s="723"/>
      <c r="C4" s="723"/>
      <c r="D4" s="723"/>
      <c r="E4" s="723"/>
    </row>
    <row r="6" spans="1:5" ht="15" customHeight="1">
      <c r="A6" s="723" t="s">
        <v>235</v>
      </c>
      <c r="B6" s="723"/>
      <c r="C6" s="723"/>
      <c r="D6" s="723"/>
      <c r="E6" s="723"/>
    </row>
    <row r="8" spans="1:5" ht="15">
      <c r="A8" s="723" t="s">
        <v>301</v>
      </c>
      <c r="B8" s="723"/>
      <c r="C8" s="723"/>
      <c r="D8" s="723"/>
      <c r="E8" s="723"/>
    </row>
    <row r="10" spans="1:5" ht="90" customHeight="1">
      <c r="A10" s="2" t="s">
        <v>193</v>
      </c>
      <c r="B10" s="2" t="s">
        <v>213</v>
      </c>
      <c r="C10" s="2" t="s">
        <v>302</v>
      </c>
      <c r="D10" s="2" t="s">
        <v>303</v>
      </c>
      <c r="E10" s="2" t="s">
        <v>304</v>
      </c>
    </row>
    <row r="11" spans="1:5" ht="15">
      <c r="A11" s="2">
        <v>1</v>
      </c>
      <c r="B11" s="2">
        <v>2</v>
      </c>
      <c r="C11" s="2">
        <v>3</v>
      </c>
      <c r="D11" s="2">
        <v>4</v>
      </c>
      <c r="E11" s="3">
        <v>5</v>
      </c>
    </row>
    <row r="12" spans="1:5" ht="24" customHeight="1">
      <c r="A12" s="2"/>
      <c r="B12" s="12" t="s">
        <v>305</v>
      </c>
      <c r="C12" s="3"/>
      <c r="D12" s="3"/>
      <c r="E12" s="3"/>
    </row>
    <row r="13" spans="1:5" ht="30">
      <c r="A13" s="14"/>
      <c r="B13" s="12" t="s">
        <v>306</v>
      </c>
      <c r="C13" s="3"/>
      <c r="D13" s="3"/>
      <c r="E13" s="3"/>
    </row>
    <row r="14" spans="1:5" ht="15">
      <c r="A14" s="2"/>
      <c r="B14" s="12"/>
      <c r="C14" s="3"/>
      <c r="D14" s="3"/>
      <c r="E14" s="3"/>
    </row>
    <row r="15" spans="1:5" ht="29.25" customHeight="1">
      <c r="A15" s="14"/>
      <c r="B15" s="12"/>
      <c r="C15" s="3"/>
      <c r="D15" s="3"/>
      <c r="E15" s="3"/>
    </row>
    <row r="16" spans="1:5" ht="15">
      <c r="A16" s="13"/>
      <c r="B16" s="12" t="s">
        <v>205</v>
      </c>
      <c r="C16" s="3" t="s">
        <v>206</v>
      </c>
      <c r="D16" s="3" t="s">
        <v>206</v>
      </c>
      <c r="E16" s="3"/>
    </row>
    <row r="18" spans="1:4" ht="18" customHeight="1">
      <c r="A18" s="729"/>
      <c r="B18" s="729"/>
      <c r="C18" s="729"/>
      <c r="D18" s="4"/>
    </row>
  </sheetData>
  <sheetProtection/>
  <mergeCells count="5">
    <mergeCell ref="A18:C18"/>
    <mergeCell ref="A2:E2"/>
    <mergeCell ref="A4:E4"/>
    <mergeCell ref="A6:E6"/>
    <mergeCell ref="A8:E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0">
      <selection activeCell="F33" sqref="F33"/>
    </sheetView>
  </sheetViews>
  <sheetFormatPr defaultColWidth="9.140625" defaultRowHeight="15"/>
  <cols>
    <col min="1" max="1" width="6.28125" style="1" customWidth="1"/>
    <col min="2" max="2" width="33.421875" style="1" customWidth="1"/>
    <col min="3" max="3" width="15.421875" style="1" customWidth="1"/>
    <col min="4" max="5" width="13.8515625" style="1" customWidth="1"/>
    <col min="6" max="6" width="14.00390625" style="1" customWidth="1"/>
    <col min="7" max="16384" width="9.140625" style="1" customWidth="1"/>
  </cols>
  <sheetData>
    <row r="2" spans="1:6" ht="15" customHeight="1">
      <c r="A2" s="723" t="s">
        <v>288</v>
      </c>
      <c r="B2" s="723"/>
      <c r="C2" s="723"/>
      <c r="D2" s="723"/>
      <c r="E2" s="723"/>
      <c r="F2" s="723"/>
    </row>
    <row r="3" spans="1:6" ht="15" customHeight="1">
      <c r="A3" s="11"/>
      <c r="B3" s="11"/>
      <c r="C3" s="11"/>
      <c r="D3" s="11"/>
      <c r="E3" s="11"/>
      <c r="F3" s="11"/>
    </row>
    <row r="4" spans="1:6" ht="15" customHeight="1">
      <c r="A4" s="723" t="s">
        <v>234</v>
      </c>
      <c r="B4" s="723"/>
      <c r="C4" s="723"/>
      <c r="D4" s="723"/>
      <c r="E4" s="723"/>
      <c r="F4" s="723"/>
    </row>
    <row r="6" spans="1:6" ht="15" customHeight="1">
      <c r="A6" s="723" t="s">
        <v>235</v>
      </c>
      <c r="B6" s="723"/>
      <c r="C6" s="723"/>
      <c r="D6" s="723"/>
      <c r="E6" s="723"/>
      <c r="F6" s="723"/>
    </row>
    <row r="8" spans="1:6" ht="15">
      <c r="A8" s="723" t="s">
        <v>307</v>
      </c>
      <c r="B8" s="723"/>
      <c r="C8" s="723"/>
      <c r="D8" s="723"/>
      <c r="E8" s="723"/>
      <c r="F8" s="723"/>
    </row>
    <row r="10" spans="1:6" ht="90" customHeight="1">
      <c r="A10" s="2" t="s">
        <v>193</v>
      </c>
      <c r="B10" s="2" t="s">
        <v>258</v>
      </c>
      <c r="C10" s="2" t="s">
        <v>308</v>
      </c>
      <c r="D10" s="2" t="s">
        <v>309</v>
      </c>
      <c r="E10" s="2" t="s">
        <v>310</v>
      </c>
      <c r="F10" s="2" t="s">
        <v>311</v>
      </c>
    </row>
    <row r="11" spans="1:6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3">
        <v>6</v>
      </c>
    </row>
    <row r="12" spans="1:6" ht="24" customHeight="1">
      <c r="A12" s="2"/>
      <c r="B12" s="12" t="s">
        <v>312</v>
      </c>
      <c r="C12" s="3"/>
      <c r="D12" s="3"/>
      <c r="E12" s="3"/>
      <c r="F12" s="3"/>
    </row>
    <row r="13" spans="1:6" ht="15">
      <c r="A13" s="14"/>
      <c r="B13" s="12" t="s">
        <v>313</v>
      </c>
      <c r="C13" s="3"/>
      <c r="D13" s="3"/>
      <c r="E13" s="3"/>
      <c r="F13" s="537">
        <v>70000</v>
      </c>
    </row>
    <row r="14" spans="1:6" ht="15">
      <c r="A14" s="14"/>
      <c r="B14" s="12"/>
      <c r="C14" s="3"/>
      <c r="D14" s="3"/>
      <c r="E14" s="3"/>
      <c r="F14" s="3"/>
    </row>
    <row r="15" spans="1:6" ht="15">
      <c r="A15" s="14"/>
      <c r="B15" s="12"/>
      <c r="C15" s="3"/>
      <c r="D15" s="3"/>
      <c r="E15" s="3"/>
      <c r="F15" s="3"/>
    </row>
    <row r="16" spans="1:6" ht="15">
      <c r="A16" s="14"/>
      <c r="B16" s="12" t="s">
        <v>314</v>
      </c>
      <c r="C16" s="3"/>
      <c r="D16" s="3"/>
      <c r="E16" s="3"/>
      <c r="F16" s="537">
        <v>600000</v>
      </c>
    </row>
    <row r="17" spans="1:6" ht="15">
      <c r="A17" s="14"/>
      <c r="B17" s="12" t="s">
        <v>313</v>
      </c>
      <c r="C17" s="3"/>
      <c r="D17" s="3"/>
      <c r="E17" s="3"/>
      <c r="F17" s="3"/>
    </row>
    <row r="18" spans="1:6" ht="15">
      <c r="A18" s="14"/>
      <c r="B18" s="12"/>
      <c r="C18" s="3"/>
      <c r="D18" s="3"/>
      <c r="E18" s="3"/>
      <c r="F18" s="3"/>
    </row>
    <row r="19" spans="1:6" ht="15">
      <c r="A19" s="14"/>
      <c r="B19" s="12"/>
      <c r="C19" s="3"/>
      <c r="D19" s="3"/>
      <c r="E19" s="3"/>
      <c r="F19" s="3"/>
    </row>
    <row r="20" spans="1:6" ht="15">
      <c r="A20" s="14"/>
      <c r="B20" s="12" t="s">
        <v>315</v>
      </c>
      <c r="C20" s="3"/>
      <c r="D20" s="3"/>
      <c r="E20" s="3"/>
      <c r="F20" s="537">
        <v>100000</v>
      </c>
    </row>
    <row r="21" spans="1:6" ht="15">
      <c r="A21" s="14"/>
      <c r="B21" s="12" t="s">
        <v>313</v>
      </c>
      <c r="C21" s="3"/>
      <c r="D21" s="3"/>
      <c r="E21" s="3"/>
      <c r="F21" s="3"/>
    </row>
    <row r="22" spans="1:6" ht="15">
      <c r="A22" s="14"/>
      <c r="B22" s="12" t="s">
        <v>636</v>
      </c>
      <c r="C22" s="3"/>
      <c r="D22" s="3"/>
      <c r="E22" s="3"/>
      <c r="F22" s="3">
        <v>50000</v>
      </c>
    </row>
    <row r="23" spans="1:6" ht="15">
      <c r="A23" s="14"/>
      <c r="B23" s="12"/>
      <c r="C23" s="3"/>
      <c r="D23" s="3"/>
      <c r="E23" s="3"/>
      <c r="F23" s="3"/>
    </row>
    <row r="24" spans="1:6" ht="15">
      <c r="A24" s="14"/>
      <c r="B24" s="12"/>
      <c r="C24" s="3"/>
      <c r="D24" s="3"/>
      <c r="E24" s="3"/>
      <c r="F24" s="3"/>
    </row>
    <row r="25" spans="1:6" ht="15">
      <c r="A25" s="14"/>
      <c r="B25" s="12" t="s">
        <v>196</v>
      </c>
      <c r="C25" s="3"/>
      <c r="D25" s="3"/>
      <c r="E25" s="3"/>
      <c r="F25" s="3"/>
    </row>
    <row r="26" spans="1:6" ht="15">
      <c r="A26" s="14"/>
      <c r="B26" s="12" t="s">
        <v>313</v>
      </c>
      <c r="C26" s="3"/>
      <c r="D26" s="3"/>
      <c r="E26" s="3"/>
      <c r="F26" s="3"/>
    </row>
    <row r="27" spans="1:6" ht="15">
      <c r="A27" s="14"/>
      <c r="B27" s="12"/>
      <c r="C27" s="3"/>
      <c r="D27" s="3"/>
      <c r="E27" s="3"/>
      <c r="F27" s="3"/>
    </row>
    <row r="28" spans="1:6" ht="15">
      <c r="A28" s="14"/>
      <c r="B28" s="12"/>
      <c r="C28" s="3"/>
      <c r="D28" s="3"/>
      <c r="E28" s="3"/>
      <c r="F28" s="3"/>
    </row>
    <row r="29" spans="1:7" ht="15">
      <c r="A29" s="14"/>
      <c r="B29" s="12" t="s">
        <v>316</v>
      </c>
      <c r="C29" s="3"/>
      <c r="D29" s="3"/>
      <c r="E29" s="3"/>
      <c r="F29" s="537">
        <v>25000</v>
      </c>
      <c r="G29" s="1" t="s">
        <v>620</v>
      </c>
    </row>
    <row r="30" spans="1:6" ht="15">
      <c r="A30" s="14"/>
      <c r="B30" s="12" t="s">
        <v>313</v>
      </c>
      <c r="C30" s="3"/>
      <c r="D30" s="3"/>
      <c r="E30" s="3"/>
      <c r="F30" s="3"/>
    </row>
    <row r="31" spans="1:6" ht="15">
      <c r="A31" s="2"/>
      <c r="B31" s="12"/>
      <c r="C31" s="3"/>
      <c r="D31" s="3"/>
      <c r="E31" s="3"/>
      <c r="F31" s="3"/>
    </row>
    <row r="32" spans="1:6" ht="29.25" customHeight="1">
      <c r="A32" s="14"/>
      <c r="B32" s="12"/>
      <c r="C32" s="3"/>
      <c r="D32" s="3"/>
      <c r="E32" s="3"/>
      <c r="F32" s="3"/>
    </row>
    <row r="33" spans="1:6" ht="15">
      <c r="A33" s="13"/>
      <c r="B33" s="12" t="s">
        <v>205</v>
      </c>
      <c r="C33" s="3" t="s">
        <v>206</v>
      </c>
      <c r="D33" s="3" t="s">
        <v>206</v>
      </c>
      <c r="E33" s="3" t="s">
        <v>206</v>
      </c>
      <c r="F33" s="537">
        <f>SUM(F13:F32)</f>
        <v>845000</v>
      </c>
    </row>
    <row r="35" spans="1:5" ht="18" customHeight="1">
      <c r="A35" s="729"/>
      <c r="B35" s="729"/>
      <c r="C35" s="729"/>
      <c r="D35" s="4"/>
      <c r="E35" s="4"/>
    </row>
  </sheetData>
  <sheetProtection/>
  <mergeCells count="5">
    <mergeCell ref="A35:C35"/>
    <mergeCell ref="A2:F2"/>
    <mergeCell ref="A4:F4"/>
    <mergeCell ref="A6:F6"/>
    <mergeCell ref="A8:F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6.28125" style="1" customWidth="1"/>
    <col min="2" max="2" width="41.8515625" style="1" customWidth="1"/>
    <col min="3" max="3" width="15.421875" style="1" customWidth="1"/>
    <col min="4" max="4" width="15.00390625" style="1" customWidth="1"/>
    <col min="5" max="5" width="13.8515625" style="1" customWidth="1"/>
    <col min="6" max="16384" width="9.140625" style="1" customWidth="1"/>
  </cols>
  <sheetData>
    <row r="2" spans="1:5" ht="15" customHeight="1">
      <c r="A2" s="723" t="s">
        <v>288</v>
      </c>
      <c r="B2" s="723"/>
      <c r="C2" s="723"/>
      <c r="D2" s="723"/>
      <c r="E2" s="723"/>
    </row>
    <row r="3" spans="1:5" ht="15" customHeight="1">
      <c r="A3" s="11"/>
      <c r="B3" s="11"/>
      <c r="C3" s="11"/>
      <c r="D3" s="11"/>
      <c r="E3" s="11"/>
    </row>
    <row r="4" spans="1:5" ht="15" customHeight="1">
      <c r="A4" s="723" t="s">
        <v>210</v>
      </c>
      <c r="B4" s="723"/>
      <c r="C4" s="723"/>
      <c r="D4" s="723"/>
      <c r="E4" s="723"/>
    </row>
    <row r="6" spans="1:5" ht="15" customHeight="1">
      <c r="A6" s="723" t="s">
        <v>320</v>
      </c>
      <c r="B6" s="723"/>
      <c r="C6" s="723"/>
      <c r="D6" s="723"/>
      <c r="E6" s="723"/>
    </row>
    <row r="8" spans="1:5" ht="15">
      <c r="A8" s="723" t="s">
        <v>317</v>
      </c>
      <c r="B8" s="723"/>
      <c r="C8" s="723"/>
      <c r="D8" s="723"/>
      <c r="E8" s="723"/>
    </row>
    <row r="10" spans="1:5" ht="90" customHeight="1">
      <c r="A10" s="2" t="s">
        <v>193</v>
      </c>
      <c r="B10" s="2" t="s">
        <v>258</v>
      </c>
      <c r="C10" s="2" t="s">
        <v>318</v>
      </c>
      <c r="D10" s="2" t="s">
        <v>319</v>
      </c>
      <c r="E10" s="2" t="s">
        <v>321</v>
      </c>
    </row>
    <row r="11" spans="1:5" ht="1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24" customHeight="1">
      <c r="A12" s="2"/>
      <c r="B12" s="12" t="s">
        <v>322</v>
      </c>
      <c r="C12" s="3" t="s">
        <v>206</v>
      </c>
      <c r="D12" s="3" t="s">
        <v>206</v>
      </c>
      <c r="E12" s="3"/>
    </row>
    <row r="13" spans="1:5" ht="15">
      <c r="A13" s="14"/>
      <c r="B13" s="12" t="s">
        <v>313</v>
      </c>
      <c r="C13" s="3"/>
      <c r="D13" s="3"/>
      <c r="E13" s="3"/>
    </row>
    <row r="14" spans="1:5" ht="15">
      <c r="A14" s="14"/>
      <c r="B14" s="12"/>
      <c r="C14" s="3"/>
      <c r="D14" s="3"/>
      <c r="E14" s="3"/>
    </row>
    <row r="15" spans="1:5" ht="15">
      <c r="A15" s="14"/>
      <c r="B15" s="12"/>
      <c r="C15" s="3"/>
      <c r="D15" s="3"/>
      <c r="E15" s="3"/>
    </row>
    <row r="16" spans="1:5" ht="15">
      <c r="A16" s="14"/>
      <c r="B16" s="12" t="s">
        <v>323</v>
      </c>
      <c r="C16" s="3" t="s">
        <v>206</v>
      </c>
      <c r="D16" s="3" t="s">
        <v>206</v>
      </c>
      <c r="E16" s="3"/>
    </row>
    <row r="17" spans="1:5" ht="15">
      <c r="A17" s="14"/>
      <c r="B17" s="12" t="s">
        <v>313</v>
      </c>
      <c r="C17" s="3"/>
      <c r="D17" s="3"/>
      <c r="E17" s="3"/>
    </row>
    <row r="18" spans="1:5" ht="15">
      <c r="A18" s="14"/>
      <c r="B18" s="12"/>
      <c r="C18" s="3"/>
      <c r="D18" s="3"/>
      <c r="E18" s="3"/>
    </row>
    <row r="19" spans="1:5" ht="15">
      <c r="A19" s="14"/>
      <c r="B19" s="12"/>
      <c r="C19" s="3"/>
      <c r="D19" s="3"/>
      <c r="E19" s="3"/>
    </row>
    <row r="20" spans="1:5" ht="15">
      <c r="A20" s="14"/>
      <c r="B20" s="12"/>
      <c r="C20" s="3"/>
      <c r="D20" s="3"/>
      <c r="E20" s="3"/>
    </row>
    <row r="21" spans="1:5" ht="15">
      <c r="A21" s="13"/>
      <c r="B21" s="12" t="s">
        <v>205</v>
      </c>
      <c r="C21" s="3" t="s">
        <v>206</v>
      </c>
      <c r="D21" s="3" t="s">
        <v>206</v>
      </c>
      <c r="E21" s="3" t="s">
        <v>206</v>
      </c>
    </row>
    <row r="23" spans="1:5" ht="18" customHeight="1">
      <c r="A23" s="729"/>
      <c r="B23" s="729"/>
      <c r="C23" s="729"/>
      <c r="D23" s="4"/>
      <c r="E23" s="4"/>
    </row>
  </sheetData>
  <sheetProtection/>
  <mergeCells count="5">
    <mergeCell ref="A23:C23"/>
    <mergeCell ref="A2:E2"/>
    <mergeCell ref="A4:E4"/>
    <mergeCell ref="A6:E6"/>
    <mergeCell ref="A8:E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3">
      <selection activeCell="E29" sqref="E29"/>
    </sheetView>
  </sheetViews>
  <sheetFormatPr defaultColWidth="9.140625" defaultRowHeight="15"/>
  <cols>
    <col min="1" max="1" width="6.28125" style="1" customWidth="1"/>
    <col min="2" max="2" width="41.8515625" style="1" customWidth="1"/>
    <col min="3" max="3" width="15.421875" style="1" customWidth="1"/>
    <col min="4" max="4" width="15.00390625" style="1" customWidth="1"/>
    <col min="5" max="5" width="13.8515625" style="1" customWidth="1"/>
    <col min="6" max="16384" width="9.140625" style="1" customWidth="1"/>
  </cols>
  <sheetData>
    <row r="2" spans="1:5" ht="15" customHeight="1">
      <c r="A2" s="723" t="s">
        <v>288</v>
      </c>
      <c r="B2" s="723"/>
      <c r="C2" s="723"/>
      <c r="D2" s="723"/>
      <c r="E2" s="723"/>
    </row>
    <row r="3" spans="1:5" ht="15" customHeight="1">
      <c r="A3" s="11"/>
      <c r="B3" s="11"/>
      <c r="C3" s="11"/>
      <c r="D3" s="11"/>
      <c r="E3" s="11"/>
    </row>
    <row r="4" spans="1:5" ht="15" customHeight="1">
      <c r="A4" s="723" t="s">
        <v>210</v>
      </c>
      <c r="B4" s="723"/>
      <c r="C4" s="723"/>
      <c r="D4" s="723"/>
      <c r="E4" s="723"/>
    </row>
    <row r="6" spans="1:5" ht="15" customHeight="1">
      <c r="A6" s="723" t="s">
        <v>320</v>
      </c>
      <c r="B6" s="723"/>
      <c r="C6" s="723"/>
      <c r="D6" s="723"/>
      <c r="E6" s="723"/>
    </row>
    <row r="8" spans="1:5" ht="15">
      <c r="A8" s="723" t="s">
        <v>340</v>
      </c>
      <c r="B8" s="723"/>
      <c r="C8" s="723"/>
      <c r="D8" s="723"/>
      <c r="E8" s="723"/>
    </row>
    <row r="10" spans="1:5" ht="90" customHeight="1">
      <c r="A10" s="2" t="s">
        <v>193</v>
      </c>
      <c r="B10" s="2" t="s">
        <v>213</v>
      </c>
      <c r="C10" s="2" t="s">
        <v>324</v>
      </c>
      <c r="D10" s="2" t="s">
        <v>325</v>
      </c>
      <c r="E10" s="2" t="s">
        <v>326</v>
      </c>
    </row>
    <row r="11" spans="1:5" ht="1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30">
      <c r="A12" s="2" t="s">
        <v>247</v>
      </c>
      <c r="B12" s="15" t="s">
        <v>327</v>
      </c>
      <c r="C12" s="2" t="s">
        <v>206</v>
      </c>
      <c r="D12" s="2" t="s">
        <v>206</v>
      </c>
      <c r="E12" s="2"/>
    </row>
    <row r="13" spans="1:5" ht="30">
      <c r="A13" s="2"/>
      <c r="B13" s="15" t="s">
        <v>328</v>
      </c>
      <c r="C13" s="2"/>
      <c r="D13" s="2"/>
      <c r="E13" s="2"/>
    </row>
    <row r="14" spans="1:5" ht="30">
      <c r="A14" s="2"/>
      <c r="B14" s="15" t="s">
        <v>329</v>
      </c>
      <c r="C14" s="2"/>
      <c r="D14" s="2"/>
      <c r="E14" s="2"/>
    </row>
    <row r="15" spans="1:5" ht="30">
      <c r="A15" s="2"/>
      <c r="B15" s="15" t="s">
        <v>330</v>
      </c>
      <c r="C15" s="2"/>
      <c r="D15" s="2"/>
      <c r="E15" s="2">
        <v>40000</v>
      </c>
    </row>
    <row r="16" spans="1:5" ht="45">
      <c r="A16" s="2"/>
      <c r="B16" s="15" t="s">
        <v>331</v>
      </c>
      <c r="C16" s="2"/>
      <c r="D16" s="2"/>
      <c r="E16" s="2"/>
    </row>
    <row r="17" spans="1:5" ht="15">
      <c r="A17" s="2"/>
      <c r="B17" s="15"/>
      <c r="C17" s="2"/>
      <c r="D17" s="2"/>
      <c r="E17" s="2"/>
    </row>
    <row r="18" spans="1:5" ht="30">
      <c r="A18" s="2" t="s">
        <v>246</v>
      </c>
      <c r="B18" s="15" t="s">
        <v>332</v>
      </c>
      <c r="C18" s="2" t="s">
        <v>206</v>
      </c>
      <c r="D18" s="2" t="s">
        <v>206</v>
      </c>
      <c r="E18" s="2"/>
    </row>
    <row r="19" spans="1:5" ht="45">
      <c r="A19" s="2"/>
      <c r="B19" s="15" t="s">
        <v>333</v>
      </c>
      <c r="C19" s="2"/>
      <c r="D19" s="2"/>
      <c r="E19" s="2"/>
    </row>
    <row r="20" spans="1:5" ht="15">
      <c r="A20" s="2"/>
      <c r="B20" s="15" t="s">
        <v>334</v>
      </c>
      <c r="C20" s="2"/>
      <c r="D20" s="2"/>
      <c r="E20" s="2"/>
    </row>
    <row r="21" spans="1:5" ht="15">
      <c r="A21" s="2"/>
      <c r="B21" s="15"/>
      <c r="C21" s="2"/>
      <c r="D21" s="2"/>
      <c r="E21" s="2"/>
    </row>
    <row r="22" spans="1:5" ht="23.25" customHeight="1">
      <c r="A22" s="2" t="s">
        <v>255</v>
      </c>
      <c r="B22" s="15" t="s">
        <v>335</v>
      </c>
      <c r="C22" s="2" t="s">
        <v>206</v>
      </c>
      <c r="D22" s="2" t="s">
        <v>206</v>
      </c>
      <c r="E22" s="2"/>
    </row>
    <row r="23" spans="1:5" ht="60">
      <c r="A23" s="2"/>
      <c r="B23" s="15" t="s">
        <v>336</v>
      </c>
      <c r="C23" s="2"/>
      <c r="D23" s="2"/>
      <c r="E23" s="2"/>
    </row>
    <row r="24" spans="1:5" ht="45">
      <c r="A24" s="2"/>
      <c r="B24" s="15" t="s">
        <v>337</v>
      </c>
      <c r="C24" s="2"/>
      <c r="D24" s="2"/>
      <c r="E24" s="2"/>
    </row>
    <row r="25" spans="1:5" ht="15">
      <c r="A25" s="2"/>
      <c r="B25" s="15"/>
      <c r="C25" s="2"/>
      <c r="D25" s="2"/>
      <c r="E25" s="2"/>
    </row>
    <row r="26" spans="1:5" ht="30">
      <c r="A26" s="2" t="s">
        <v>338</v>
      </c>
      <c r="B26" s="15" t="s">
        <v>339</v>
      </c>
      <c r="C26" s="2" t="s">
        <v>206</v>
      </c>
      <c r="D26" s="2" t="s">
        <v>206</v>
      </c>
      <c r="E26" s="2">
        <v>45000</v>
      </c>
    </row>
    <row r="27" spans="1:5" ht="15">
      <c r="A27" s="2"/>
      <c r="B27" s="15" t="s">
        <v>200</v>
      </c>
      <c r="C27" s="2"/>
      <c r="D27" s="2"/>
      <c r="E27" s="2"/>
    </row>
    <row r="28" spans="1:5" ht="15">
      <c r="A28" s="2"/>
      <c r="B28" s="15"/>
      <c r="C28" s="2"/>
      <c r="D28" s="2"/>
      <c r="E28" s="2"/>
    </row>
    <row r="29" spans="1:5" ht="15">
      <c r="A29" s="2"/>
      <c r="B29" s="15"/>
      <c r="C29" s="2"/>
      <c r="D29" s="2"/>
      <c r="E29" s="2"/>
    </row>
    <row r="30" spans="1:5" ht="15">
      <c r="A30" s="14"/>
      <c r="B30" s="12"/>
      <c r="C30" s="3"/>
      <c r="D30" s="3"/>
      <c r="E30" s="3"/>
    </row>
    <row r="31" spans="1:5" ht="15">
      <c r="A31" s="13"/>
      <c r="B31" s="12" t="s">
        <v>205</v>
      </c>
      <c r="C31" s="3" t="s">
        <v>206</v>
      </c>
      <c r="D31" s="3" t="s">
        <v>206</v>
      </c>
      <c r="E31" s="3" t="s">
        <v>206</v>
      </c>
    </row>
    <row r="33" spans="1:5" ht="18" customHeight="1">
      <c r="A33" s="729"/>
      <c r="B33" s="729"/>
      <c r="C33" s="729"/>
      <c r="D33" s="4"/>
      <c r="E33" s="4"/>
    </row>
  </sheetData>
  <sheetProtection/>
  <mergeCells count="5">
    <mergeCell ref="A33:C33"/>
    <mergeCell ref="A2:E2"/>
    <mergeCell ref="A4:E4"/>
    <mergeCell ref="A6:E6"/>
    <mergeCell ref="A8:E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F24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6.28125" style="1" customWidth="1"/>
    <col min="2" max="2" width="49.421875" style="1" customWidth="1"/>
    <col min="3" max="3" width="19.57421875" style="1" customWidth="1"/>
    <col min="4" max="4" width="18.8515625" style="1" customWidth="1"/>
    <col min="5" max="16384" width="9.140625" style="1" customWidth="1"/>
  </cols>
  <sheetData>
    <row r="2" spans="1:6" ht="15" customHeight="1">
      <c r="A2" s="723" t="s">
        <v>288</v>
      </c>
      <c r="B2" s="723"/>
      <c r="C2" s="723"/>
      <c r="D2" s="723"/>
      <c r="E2" s="10"/>
      <c r="F2" s="10"/>
    </row>
    <row r="3" spans="1:4" ht="15" customHeight="1">
      <c r="A3" s="11"/>
      <c r="B3" s="11"/>
      <c r="C3" s="11"/>
      <c r="D3" s="11"/>
    </row>
    <row r="4" spans="1:6" ht="15" customHeight="1">
      <c r="A4" s="723" t="s">
        <v>210</v>
      </c>
      <c r="B4" s="723"/>
      <c r="C4" s="723"/>
      <c r="D4" s="723"/>
      <c r="E4" s="10"/>
      <c r="F4" s="10"/>
    </row>
    <row r="6" spans="1:6" ht="15" customHeight="1">
      <c r="A6" s="730" t="s">
        <v>637</v>
      </c>
      <c r="B6" s="730"/>
      <c r="C6" s="730"/>
      <c r="D6" s="730"/>
      <c r="E6" s="723"/>
      <c r="F6" s="723"/>
    </row>
    <row r="8" spans="1:6" ht="15" customHeight="1">
      <c r="A8" s="723" t="s">
        <v>347</v>
      </c>
      <c r="B8" s="723"/>
      <c r="C8" s="723"/>
      <c r="D8" s="723"/>
      <c r="E8" s="10"/>
      <c r="F8" s="10"/>
    </row>
    <row r="10" spans="1:4" ht="56.25" customHeight="1">
      <c r="A10" s="2" t="s">
        <v>193</v>
      </c>
      <c r="B10" s="2" t="s">
        <v>213</v>
      </c>
      <c r="C10" s="2" t="s">
        <v>341</v>
      </c>
      <c r="D10" s="2" t="s">
        <v>342</v>
      </c>
    </row>
    <row r="11" spans="1:4" ht="15">
      <c r="A11" s="2">
        <v>1</v>
      </c>
      <c r="B11" s="2">
        <v>2</v>
      </c>
      <c r="C11" s="2">
        <v>3</v>
      </c>
      <c r="D11" s="2">
        <v>4</v>
      </c>
    </row>
    <row r="12" spans="1:4" ht="30">
      <c r="A12" s="2"/>
      <c r="B12" s="15" t="s">
        <v>343</v>
      </c>
      <c r="C12" s="2" t="s">
        <v>206</v>
      </c>
      <c r="D12" s="17"/>
    </row>
    <row r="13" spans="1:4" ht="15">
      <c r="A13" s="2"/>
      <c r="B13" s="15" t="s">
        <v>313</v>
      </c>
      <c r="C13" s="2"/>
      <c r="D13" s="17"/>
    </row>
    <row r="14" spans="1:4" ht="15">
      <c r="A14" s="2"/>
      <c r="B14" s="15"/>
      <c r="C14" s="2"/>
      <c r="D14" s="17"/>
    </row>
    <row r="15" spans="1:4" ht="30">
      <c r="A15" s="2"/>
      <c r="B15" s="15" t="s">
        <v>344</v>
      </c>
      <c r="C15" s="2" t="s">
        <v>206</v>
      </c>
      <c r="D15" s="17"/>
    </row>
    <row r="16" spans="1:4" ht="15">
      <c r="A16" s="2"/>
      <c r="B16" s="15" t="s">
        <v>313</v>
      </c>
      <c r="C16" s="2"/>
      <c r="D16" s="17"/>
    </row>
    <row r="17" spans="1:4" ht="15">
      <c r="A17" s="2"/>
      <c r="B17" s="15"/>
      <c r="C17" s="2"/>
      <c r="D17" s="17"/>
    </row>
    <row r="18" spans="1:4" ht="30">
      <c r="A18" s="2"/>
      <c r="B18" s="15" t="s">
        <v>345</v>
      </c>
      <c r="C18" s="2" t="s">
        <v>206</v>
      </c>
      <c r="D18" s="17"/>
    </row>
    <row r="19" spans="1:4" ht="45">
      <c r="A19" s="2"/>
      <c r="B19" s="15" t="s">
        <v>346</v>
      </c>
      <c r="C19" s="2"/>
      <c r="D19" s="17"/>
    </row>
    <row r="20" spans="1:4" ht="15">
      <c r="A20" s="2"/>
      <c r="B20" s="15"/>
      <c r="C20" s="2"/>
      <c r="D20" s="17"/>
    </row>
    <row r="21" spans="1:4" ht="15">
      <c r="A21" s="2"/>
      <c r="B21" s="15" t="s">
        <v>369</v>
      </c>
      <c r="C21" s="2"/>
      <c r="D21" s="17"/>
    </row>
    <row r="22" spans="1:4" ht="15">
      <c r="A22" s="13"/>
      <c r="B22" s="12" t="s">
        <v>205</v>
      </c>
      <c r="C22" s="3" t="s">
        <v>206</v>
      </c>
      <c r="D22" s="16"/>
    </row>
    <row r="24" spans="1:4" ht="18" customHeight="1">
      <c r="A24" s="729"/>
      <c r="B24" s="729"/>
      <c r="C24" s="729"/>
      <c r="D24" s="4"/>
    </row>
  </sheetData>
  <sheetProtection/>
  <mergeCells count="6">
    <mergeCell ref="E6:F6"/>
    <mergeCell ref="A8:D8"/>
    <mergeCell ref="A24:C24"/>
    <mergeCell ref="A2:D2"/>
    <mergeCell ref="A4:D4"/>
    <mergeCell ref="A6:D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3"/>
  <sheetViews>
    <sheetView zoomScalePageLayoutView="0" workbookViewId="0" topLeftCell="A100">
      <selection activeCell="G140" sqref="G140"/>
    </sheetView>
  </sheetViews>
  <sheetFormatPr defaultColWidth="9.140625" defaultRowHeight="15"/>
  <cols>
    <col min="13" max="13" width="12.140625" style="0" customWidth="1"/>
  </cols>
  <sheetData>
    <row r="1" spans="1:12" ht="15">
      <c r="A1" s="375"/>
      <c r="B1" s="375"/>
      <c r="C1" s="546"/>
      <c r="D1" s="546"/>
      <c r="E1" s="376"/>
      <c r="F1" s="544"/>
      <c r="G1" s="544"/>
      <c r="H1" s="547"/>
      <c r="I1" s="547"/>
      <c r="J1" s="547"/>
      <c r="K1" s="547"/>
      <c r="L1" s="547"/>
    </row>
    <row r="2" spans="1:12" ht="15">
      <c r="A2" s="375"/>
      <c r="B2" s="375"/>
      <c r="C2" s="546"/>
      <c r="D2" s="546"/>
      <c r="E2" s="376"/>
      <c r="F2" s="544"/>
      <c r="G2" s="544"/>
      <c r="H2" s="547"/>
      <c r="I2" s="547"/>
      <c r="J2" s="547"/>
      <c r="K2" s="547"/>
      <c r="L2" s="547"/>
    </row>
    <row r="3" spans="1:12" ht="15">
      <c r="A3" s="375"/>
      <c r="B3" s="375"/>
      <c r="C3" s="546"/>
      <c r="D3" s="546"/>
      <c r="E3" s="376"/>
      <c r="F3" s="544"/>
      <c r="G3" s="544"/>
      <c r="H3" s="544" t="s">
        <v>69</v>
      </c>
      <c r="I3" s="544"/>
      <c r="J3" s="544"/>
      <c r="K3" s="544"/>
      <c r="L3" s="544"/>
    </row>
    <row r="4" spans="1:12" ht="15">
      <c r="A4" s="375"/>
      <c r="B4" s="375"/>
      <c r="C4" s="546"/>
      <c r="D4" s="546"/>
      <c r="E4" s="376"/>
      <c r="F4" s="544"/>
      <c r="G4" s="544"/>
      <c r="H4" s="545" t="s">
        <v>427</v>
      </c>
      <c r="I4" s="545"/>
      <c r="J4" s="545"/>
      <c r="K4" s="545"/>
      <c r="L4" s="545"/>
    </row>
    <row r="5" spans="1:12" ht="15.75" thickBot="1">
      <c r="A5" s="375"/>
      <c r="B5" s="375"/>
      <c r="C5" s="546"/>
      <c r="D5" s="546"/>
      <c r="E5" s="376"/>
      <c r="F5" s="544"/>
      <c r="G5" s="544"/>
      <c r="H5" s="378"/>
      <c r="I5" s="551"/>
      <c r="J5" s="551"/>
      <c r="K5" s="551"/>
      <c r="L5" s="551"/>
    </row>
    <row r="6" spans="1:12" ht="15">
      <c r="A6" s="375"/>
      <c r="B6" s="375"/>
      <c r="C6" s="546"/>
      <c r="D6" s="546"/>
      <c r="E6" s="376"/>
      <c r="F6" s="544"/>
      <c r="G6" s="544"/>
      <c r="H6" s="377" t="s">
        <v>70</v>
      </c>
      <c r="I6" s="550" t="s">
        <v>71</v>
      </c>
      <c r="J6" s="550"/>
      <c r="K6" s="550"/>
      <c r="L6" s="550"/>
    </row>
    <row r="7" spans="1:12" ht="15">
      <c r="A7" s="546"/>
      <c r="B7" s="546"/>
      <c r="C7" s="546"/>
      <c r="D7" s="546"/>
      <c r="E7" s="376"/>
      <c r="F7" s="544"/>
      <c r="G7" s="544"/>
      <c r="H7" s="547" t="s">
        <v>72</v>
      </c>
      <c r="I7" s="548"/>
      <c r="J7" s="548"/>
      <c r="K7" s="548"/>
      <c r="L7" s="548"/>
    </row>
    <row r="8" spans="1:12" ht="15">
      <c r="A8" s="546"/>
      <c r="B8" s="546"/>
      <c r="C8" s="546"/>
      <c r="D8" s="546"/>
      <c r="E8" s="376"/>
      <c r="F8" s="544"/>
      <c r="G8" s="544"/>
      <c r="H8" s="547" t="s">
        <v>73</v>
      </c>
      <c r="I8" s="548"/>
      <c r="J8" s="548"/>
      <c r="K8" s="548"/>
      <c r="L8" s="548"/>
    </row>
    <row r="9" spans="1:12" ht="15">
      <c r="A9" s="546"/>
      <c r="B9" s="546"/>
      <c r="C9" s="546"/>
      <c r="D9" s="546"/>
      <c r="E9" s="376"/>
      <c r="F9" s="544"/>
      <c r="G9" s="544"/>
      <c r="H9" s="377"/>
      <c r="I9" s="377"/>
      <c r="J9" s="377"/>
      <c r="K9" s="377"/>
      <c r="L9" s="377"/>
    </row>
    <row r="10" spans="1:12" ht="15">
      <c r="A10" s="546"/>
      <c r="B10" s="546"/>
      <c r="C10" s="546"/>
      <c r="D10" s="546"/>
      <c r="E10" s="376"/>
      <c r="F10" s="544"/>
      <c r="G10" s="544"/>
      <c r="H10" s="377"/>
      <c r="I10" s="377"/>
      <c r="J10" s="377"/>
      <c r="K10" s="377"/>
      <c r="L10" s="377"/>
    </row>
    <row r="11" spans="1:12" ht="18.75">
      <c r="A11" s="549" t="s">
        <v>74</v>
      </c>
      <c r="B11" s="549"/>
      <c r="C11" s="549"/>
      <c r="D11" s="549"/>
      <c r="E11" s="549"/>
      <c r="F11" s="549"/>
      <c r="G11" s="549"/>
      <c r="H11" s="549"/>
      <c r="I11" s="549"/>
      <c r="J11" s="549"/>
      <c r="K11" s="549"/>
      <c r="L11" s="549"/>
    </row>
    <row r="12" spans="1:12" ht="18.75">
      <c r="A12" s="549" t="s">
        <v>631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</row>
    <row r="13" spans="1:12" ht="19.5" thickBot="1">
      <c r="A13" s="379"/>
      <c r="B13" s="379"/>
      <c r="C13" s="549"/>
      <c r="D13" s="549"/>
      <c r="E13" s="379"/>
      <c r="F13" s="549"/>
      <c r="G13" s="549"/>
      <c r="H13" s="379"/>
      <c r="I13" s="552"/>
      <c r="J13" s="552"/>
      <c r="K13" s="552"/>
      <c r="L13" s="380" t="s">
        <v>75</v>
      </c>
    </row>
    <row r="14" spans="1:12" ht="19.5" thickBot="1">
      <c r="A14" s="379"/>
      <c r="B14" s="379"/>
      <c r="C14" s="549"/>
      <c r="D14" s="549"/>
      <c r="E14" s="379"/>
      <c r="F14" s="549"/>
      <c r="G14" s="549"/>
      <c r="H14" s="379"/>
      <c r="I14" s="554" t="s">
        <v>76</v>
      </c>
      <c r="J14" s="554"/>
      <c r="K14" s="555"/>
      <c r="L14" s="381"/>
    </row>
    <row r="15" spans="1:12" ht="15">
      <c r="A15" s="552" t="s">
        <v>77</v>
      </c>
      <c r="B15" s="552"/>
      <c r="C15" s="552"/>
      <c r="D15" s="552"/>
      <c r="E15" s="552"/>
      <c r="F15" s="552"/>
      <c r="G15" s="552"/>
      <c r="H15" s="552"/>
      <c r="I15" s="554" t="s">
        <v>78</v>
      </c>
      <c r="J15" s="554"/>
      <c r="K15" s="555"/>
      <c r="L15" s="568"/>
    </row>
    <row r="16" spans="1:12" ht="15.75" thickBot="1">
      <c r="A16" s="553"/>
      <c r="B16" s="553"/>
      <c r="C16" s="553"/>
      <c r="D16" s="553"/>
      <c r="E16" s="553"/>
      <c r="F16" s="553"/>
      <c r="G16" s="553"/>
      <c r="H16" s="553"/>
      <c r="I16" s="554"/>
      <c r="J16" s="554"/>
      <c r="K16" s="555"/>
      <c r="L16" s="569"/>
    </row>
    <row r="17" spans="1:12" ht="15">
      <c r="A17" s="570" t="s">
        <v>607</v>
      </c>
      <c r="B17" s="571"/>
      <c r="C17" s="571"/>
      <c r="D17" s="571"/>
      <c r="E17" s="571"/>
      <c r="F17" s="571"/>
      <c r="G17" s="571"/>
      <c r="H17" s="575"/>
      <c r="I17" s="558" t="s">
        <v>79</v>
      </c>
      <c r="J17" s="554"/>
      <c r="K17" s="555"/>
      <c r="L17" s="568">
        <v>53065590</v>
      </c>
    </row>
    <row r="18" spans="1:12" ht="15.75" thickBot="1">
      <c r="A18" s="556"/>
      <c r="B18" s="572"/>
      <c r="C18" s="572"/>
      <c r="D18" s="546"/>
      <c r="E18" s="546"/>
      <c r="F18" s="546"/>
      <c r="G18" s="546"/>
      <c r="H18" s="557"/>
      <c r="I18" s="558"/>
      <c r="J18" s="554"/>
      <c r="K18" s="555"/>
      <c r="L18" s="569"/>
    </row>
    <row r="19" spans="1:12" ht="15.75" thickBot="1">
      <c r="A19" s="556"/>
      <c r="B19" s="572"/>
      <c r="C19" s="572"/>
      <c r="D19" s="546"/>
      <c r="E19" s="546"/>
      <c r="F19" s="546"/>
      <c r="G19" s="546"/>
      <c r="H19" s="557"/>
      <c r="I19" s="556"/>
      <c r="J19" s="546"/>
      <c r="K19" s="557"/>
      <c r="L19" s="383"/>
    </row>
    <row r="20" spans="1:12" ht="15.75" thickBot="1">
      <c r="A20" s="556"/>
      <c r="B20" s="572"/>
      <c r="C20" s="572"/>
      <c r="D20" s="546"/>
      <c r="E20" s="546"/>
      <c r="F20" s="546"/>
      <c r="G20" s="546"/>
      <c r="H20" s="557"/>
      <c r="I20" s="556"/>
      <c r="J20" s="546"/>
      <c r="K20" s="557"/>
      <c r="L20" s="383"/>
    </row>
    <row r="21" spans="1:12" ht="15.75" thickBot="1">
      <c r="A21" s="573"/>
      <c r="B21" s="574"/>
      <c r="C21" s="574"/>
      <c r="D21" s="574"/>
      <c r="E21" s="574"/>
      <c r="F21" s="574"/>
      <c r="G21" s="574"/>
      <c r="H21" s="576"/>
      <c r="I21" s="558"/>
      <c r="J21" s="554"/>
      <c r="K21" s="555"/>
      <c r="L21" s="384"/>
    </row>
    <row r="22" spans="1:12" ht="15.75" thickBot="1">
      <c r="A22" s="559" t="s">
        <v>608</v>
      </c>
      <c r="B22" s="560"/>
      <c r="C22" s="560"/>
      <c r="D22" s="560"/>
      <c r="E22" s="560"/>
      <c r="F22" s="560"/>
      <c r="G22" s="560"/>
      <c r="H22" s="561"/>
      <c r="I22" s="565"/>
      <c r="J22" s="566"/>
      <c r="K22" s="567"/>
      <c r="L22" s="386"/>
    </row>
    <row r="23" spans="1:12" ht="15.75" thickBot="1">
      <c r="A23" s="559" t="s">
        <v>80</v>
      </c>
      <c r="B23" s="560"/>
      <c r="C23" s="560"/>
      <c r="D23" s="560"/>
      <c r="E23" s="560"/>
      <c r="F23" s="560"/>
      <c r="G23" s="560"/>
      <c r="H23" s="561"/>
      <c r="I23" s="577" t="s">
        <v>81</v>
      </c>
      <c r="J23" s="578"/>
      <c r="K23" s="579"/>
      <c r="L23" s="386">
        <v>383</v>
      </c>
    </row>
    <row r="24" spans="1:12" ht="15.75" thickBot="1">
      <c r="A24" s="559" t="s">
        <v>82</v>
      </c>
      <c r="B24" s="560"/>
      <c r="C24" s="560"/>
      <c r="D24" s="580" t="s">
        <v>609</v>
      </c>
      <c r="E24" s="580"/>
      <c r="F24" s="580"/>
      <c r="G24" s="580"/>
      <c r="H24" s="580"/>
      <c r="I24" s="580"/>
      <c r="J24" s="580"/>
      <c r="K24" s="580"/>
      <c r="L24" s="581"/>
    </row>
    <row r="25" spans="1:12" ht="32.25" customHeight="1" thickBot="1">
      <c r="A25" s="559" t="s">
        <v>83</v>
      </c>
      <c r="B25" s="560"/>
      <c r="C25" s="560"/>
      <c r="D25" s="560" t="s">
        <v>610</v>
      </c>
      <c r="E25" s="560"/>
      <c r="F25" s="560"/>
      <c r="G25" s="560"/>
      <c r="H25" s="560"/>
      <c r="I25" s="560"/>
      <c r="J25" s="560"/>
      <c r="K25" s="560"/>
      <c r="L25" s="561"/>
    </row>
    <row r="26" spans="1:12" ht="15">
      <c r="A26" s="582"/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</row>
    <row r="27" spans="1:12" ht="15">
      <c r="A27" s="552" t="s">
        <v>84</v>
      </c>
      <c r="B27" s="552"/>
      <c r="C27" s="552"/>
      <c r="D27" s="552"/>
      <c r="E27" s="552"/>
      <c r="F27" s="552"/>
      <c r="G27" s="552"/>
      <c r="H27" s="552"/>
      <c r="I27" s="552"/>
      <c r="J27" s="552"/>
      <c r="K27" s="552"/>
      <c r="L27" s="552"/>
    </row>
    <row r="28" spans="1:12" ht="15.75" thickBot="1">
      <c r="A28" s="553"/>
      <c r="B28" s="553"/>
      <c r="C28" s="553"/>
      <c r="D28" s="553"/>
      <c r="E28" s="553"/>
      <c r="F28" s="553"/>
      <c r="G28" s="553"/>
      <c r="H28" s="553"/>
      <c r="I28" s="553"/>
      <c r="J28" s="553"/>
      <c r="K28" s="553"/>
      <c r="L28" s="553"/>
    </row>
    <row r="29" spans="1:12" ht="15">
      <c r="A29" s="562" t="s">
        <v>85</v>
      </c>
      <c r="B29" s="563"/>
      <c r="C29" s="563"/>
      <c r="D29" s="563"/>
      <c r="E29" s="563"/>
      <c r="F29" s="563"/>
      <c r="G29" s="563"/>
      <c r="H29" s="564"/>
      <c r="I29" s="583"/>
      <c r="J29" s="584"/>
      <c r="K29" s="584"/>
      <c r="L29" s="585"/>
    </row>
    <row r="30" spans="1:12" ht="15.75" thickBot="1">
      <c r="A30" s="589" t="s">
        <v>86</v>
      </c>
      <c r="B30" s="590"/>
      <c r="C30" s="590"/>
      <c r="D30" s="590"/>
      <c r="E30" s="590"/>
      <c r="F30" s="590"/>
      <c r="G30" s="590"/>
      <c r="H30" s="591"/>
      <c r="I30" s="586"/>
      <c r="J30" s="587"/>
      <c r="K30" s="587"/>
      <c r="L30" s="588"/>
    </row>
    <row r="31" spans="1:12" ht="15.75" thickBot="1">
      <c r="A31" s="592" t="s">
        <v>87</v>
      </c>
      <c r="B31" s="593"/>
      <c r="C31" s="593"/>
      <c r="D31" s="593"/>
      <c r="E31" s="593"/>
      <c r="F31" s="593"/>
      <c r="G31" s="593"/>
      <c r="H31" s="594"/>
      <c r="I31" s="595"/>
      <c r="J31" s="596"/>
      <c r="K31" s="596"/>
      <c r="L31" s="597"/>
    </row>
    <row r="32" spans="1:12" ht="15.75" thickBot="1">
      <c r="A32" s="592" t="s">
        <v>88</v>
      </c>
      <c r="B32" s="593"/>
      <c r="C32" s="593"/>
      <c r="D32" s="593"/>
      <c r="E32" s="593"/>
      <c r="F32" s="593"/>
      <c r="G32" s="593"/>
      <c r="H32" s="594"/>
      <c r="I32" s="595"/>
      <c r="J32" s="596"/>
      <c r="K32" s="596"/>
      <c r="L32" s="597"/>
    </row>
    <row r="33" spans="1:12" ht="15.75" thickBot="1">
      <c r="A33" s="559" t="s">
        <v>89</v>
      </c>
      <c r="B33" s="560"/>
      <c r="C33" s="560"/>
      <c r="D33" s="560"/>
      <c r="E33" s="560"/>
      <c r="F33" s="560"/>
      <c r="G33" s="560"/>
      <c r="H33" s="560"/>
      <c r="I33" s="560"/>
      <c r="J33" s="560"/>
      <c r="K33" s="560"/>
      <c r="L33" s="561"/>
    </row>
    <row r="34" spans="1:12" ht="15.75" thickBot="1">
      <c r="A34" s="559"/>
      <c r="B34" s="560"/>
      <c r="C34" s="560"/>
      <c r="D34" s="560"/>
      <c r="E34" s="560"/>
      <c r="F34" s="560"/>
      <c r="G34" s="560"/>
      <c r="H34" s="560"/>
      <c r="I34" s="560"/>
      <c r="J34" s="560"/>
      <c r="K34" s="560"/>
      <c r="L34" s="561"/>
    </row>
    <row r="35" spans="1:12" ht="15.75" thickBot="1">
      <c r="A35" s="559" t="s">
        <v>90</v>
      </c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1"/>
    </row>
    <row r="36" spans="1:12" ht="15.75" thickBot="1">
      <c r="A36" s="559"/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1"/>
    </row>
    <row r="37" spans="1:12" ht="15">
      <c r="A37" s="600" t="s">
        <v>91</v>
      </c>
      <c r="B37" s="601"/>
      <c r="C37" s="601"/>
      <c r="D37" s="601"/>
      <c r="E37" s="601"/>
      <c r="F37" s="601"/>
      <c r="G37" s="601"/>
      <c r="H37" s="602"/>
      <c r="I37" s="570"/>
      <c r="J37" s="571"/>
      <c r="K37" s="571"/>
      <c r="L37" s="575"/>
    </row>
    <row r="38" spans="1:12" ht="15.75" thickBot="1">
      <c r="A38" s="603"/>
      <c r="B38" s="604"/>
      <c r="C38" s="604"/>
      <c r="D38" s="604"/>
      <c r="E38" s="604"/>
      <c r="F38" s="604"/>
      <c r="G38" s="604"/>
      <c r="H38" s="605"/>
      <c r="I38" s="573"/>
      <c r="J38" s="574"/>
      <c r="K38" s="574"/>
      <c r="L38" s="576"/>
    </row>
    <row r="39" spans="1:12" ht="15">
      <c r="A39" s="600" t="s">
        <v>92</v>
      </c>
      <c r="B39" s="601"/>
      <c r="C39" s="601"/>
      <c r="D39" s="601"/>
      <c r="E39" s="601"/>
      <c r="F39" s="601"/>
      <c r="G39" s="601"/>
      <c r="H39" s="602"/>
      <c r="I39" s="570" t="s">
        <v>611</v>
      </c>
      <c r="J39" s="571"/>
      <c r="K39" s="571"/>
      <c r="L39" s="575"/>
    </row>
    <row r="40" spans="1:12" ht="15.75" thickBot="1">
      <c r="A40" s="603"/>
      <c r="B40" s="604"/>
      <c r="C40" s="604"/>
      <c r="D40" s="604"/>
      <c r="E40" s="604"/>
      <c r="F40" s="604"/>
      <c r="G40" s="604"/>
      <c r="H40" s="605"/>
      <c r="I40" s="573"/>
      <c r="J40" s="574"/>
      <c r="K40" s="574"/>
      <c r="L40" s="576"/>
    </row>
    <row r="41" spans="1:12" ht="15">
      <c r="A41" s="600" t="s">
        <v>93</v>
      </c>
      <c r="B41" s="601"/>
      <c r="C41" s="601"/>
      <c r="D41" s="601"/>
      <c r="E41" s="601"/>
      <c r="F41" s="601"/>
      <c r="G41" s="601"/>
      <c r="H41" s="602"/>
      <c r="I41" s="570"/>
      <c r="J41" s="571"/>
      <c r="K41" s="571"/>
      <c r="L41" s="575"/>
    </row>
    <row r="42" spans="1:12" ht="15.75" thickBot="1">
      <c r="A42" s="603"/>
      <c r="B42" s="604"/>
      <c r="C42" s="604"/>
      <c r="D42" s="604"/>
      <c r="E42" s="604"/>
      <c r="F42" s="604"/>
      <c r="G42" s="604"/>
      <c r="H42" s="605"/>
      <c r="I42" s="573"/>
      <c r="J42" s="574"/>
      <c r="K42" s="574"/>
      <c r="L42" s="576"/>
    </row>
    <row r="43" spans="1:12" ht="15.75" thickBot="1">
      <c r="A43" s="592" t="s">
        <v>94</v>
      </c>
      <c r="B43" s="593"/>
      <c r="C43" s="593"/>
      <c r="D43" s="593"/>
      <c r="E43" s="593"/>
      <c r="F43" s="593"/>
      <c r="G43" s="593"/>
      <c r="H43" s="594"/>
      <c r="I43" s="559"/>
      <c r="J43" s="560"/>
      <c r="K43" s="560"/>
      <c r="L43" s="561"/>
    </row>
    <row r="44" spans="1:12" ht="15.75" thickBot="1">
      <c r="A44" s="592" t="s">
        <v>95</v>
      </c>
      <c r="B44" s="593"/>
      <c r="C44" s="593"/>
      <c r="D44" s="593"/>
      <c r="E44" s="593"/>
      <c r="F44" s="593"/>
      <c r="G44" s="593"/>
      <c r="H44" s="594"/>
      <c r="I44" s="559"/>
      <c r="J44" s="560"/>
      <c r="K44" s="560"/>
      <c r="L44" s="561"/>
    </row>
    <row r="45" spans="1:12" ht="15">
      <c r="A45" s="600" t="s">
        <v>96</v>
      </c>
      <c r="B45" s="601"/>
      <c r="C45" s="601"/>
      <c r="D45" s="601"/>
      <c r="E45" s="601"/>
      <c r="F45" s="601"/>
      <c r="G45" s="601"/>
      <c r="H45" s="602"/>
      <c r="I45" s="570"/>
      <c r="J45" s="571"/>
      <c r="K45" s="571"/>
      <c r="L45" s="575"/>
    </row>
    <row r="46" spans="1:12" ht="15.75" thickBot="1">
      <c r="A46" s="603"/>
      <c r="B46" s="604"/>
      <c r="C46" s="604"/>
      <c r="D46" s="604"/>
      <c r="E46" s="604"/>
      <c r="F46" s="604"/>
      <c r="G46" s="604"/>
      <c r="H46" s="605"/>
      <c r="I46" s="573"/>
      <c r="J46" s="574"/>
      <c r="K46" s="574"/>
      <c r="L46" s="576"/>
    </row>
    <row r="47" spans="1:12" ht="15">
      <c r="A47" s="600" t="s">
        <v>97</v>
      </c>
      <c r="B47" s="601"/>
      <c r="C47" s="601"/>
      <c r="D47" s="601"/>
      <c r="E47" s="601"/>
      <c r="F47" s="601"/>
      <c r="G47" s="601"/>
      <c r="H47" s="602"/>
      <c r="I47" s="570"/>
      <c r="J47" s="571"/>
      <c r="K47" s="571"/>
      <c r="L47" s="575"/>
    </row>
    <row r="48" spans="1:12" ht="15.75" thickBot="1">
      <c r="A48" s="603" t="s">
        <v>98</v>
      </c>
      <c r="B48" s="604"/>
      <c r="C48" s="604"/>
      <c r="D48" s="604"/>
      <c r="E48" s="604"/>
      <c r="F48" s="604"/>
      <c r="G48" s="604"/>
      <c r="H48" s="605"/>
      <c r="I48" s="573"/>
      <c r="J48" s="574"/>
      <c r="K48" s="574"/>
      <c r="L48" s="576"/>
    </row>
    <row r="49" spans="1:12" ht="15">
      <c r="A49" s="598" t="s">
        <v>99</v>
      </c>
      <c r="B49" s="598"/>
      <c r="C49" s="598"/>
      <c r="D49" s="598"/>
      <c r="E49" s="598"/>
      <c r="F49" s="598"/>
      <c r="G49" s="598"/>
      <c r="H49" s="598"/>
      <c r="I49" s="598"/>
      <c r="J49" s="598"/>
      <c r="K49" s="598"/>
      <c r="L49" s="598"/>
    </row>
    <row r="50" spans="1:12" ht="15.75" thickBot="1">
      <c r="A50" s="599"/>
      <c r="B50" s="599"/>
      <c r="C50" s="599"/>
      <c r="D50" s="599"/>
      <c r="E50" s="599"/>
      <c r="F50" s="599"/>
      <c r="G50" s="599"/>
      <c r="H50" s="599"/>
      <c r="I50" s="599"/>
      <c r="J50" s="599"/>
      <c r="K50" s="599"/>
      <c r="L50" s="599"/>
    </row>
    <row r="51" spans="1:12" ht="15">
      <c r="A51" s="615" t="s">
        <v>258</v>
      </c>
      <c r="B51" s="616"/>
      <c r="C51" s="616"/>
      <c r="D51" s="617"/>
      <c r="E51" s="388"/>
      <c r="F51" s="621" t="s">
        <v>318</v>
      </c>
      <c r="G51" s="622"/>
      <c r="H51" s="625" t="s">
        <v>100</v>
      </c>
      <c r="I51" s="627" t="s">
        <v>101</v>
      </c>
      <c r="J51" s="628"/>
      <c r="K51" s="628"/>
      <c r="L51" s="629"/>
    </row>
    <row r="52" spans="1:12" ht="15.75" thickBot="1">
      <c r="A52" s="618"/>
      <c r="B52" s="619"/>
      <c r="C52" s="619"/>
      <c r="D52" s="620"/>
      <c r="E52" s="389"/>
      <c r="F52" s="623"/>
      <c r="G52" s="624"/>
      <c r="H52" s="626"/>
      <c r="I52" s="609" t="s">
        <v>102</v>
      </c>
      <c r="J52" s="551"/>
      <c r="K52" s="551"/>
      <c r="L52" s="610"/>
    </row>
    <row r="53" spans="1:12" ht="15.75" thickBot="1">
      <c r="A53" s="606" t="s">
        <v>103</v>
      </c>
      <c r="B53" s="607"/>
      <c r="C53" s="607"/>
      <c r="D53" s="608"/>
      <c r="E53" s="390"/>
      <c r="F53" s="611"/>
      <c r="G53" s="597"/>
      <c r="H53" s="387"/>
      <c r="I53" s="612"/>
      <c r="J53" s="613"/>
      <c r="K53" s="613"/>
      <c r="L53" s="614"/>
    </row>
    <row r="54" spans="1:12" ht="15.75" thickBot="1">
      <c r="A54" s="606"/>
      <c r="B54" s="607"/>
      <c r="C54" s="607"/>
      <c r="D54" s="608"/>
      <c r="E54" s="390"/>
      <c r="F54" s="611"/>
      <c r="G54" s="597"/>
      <c r="H54" s="387"/>
      <c r="I54" s="612"/>
      <c r="J54" s="613"/>
      <c r="K54" s="613"/>
      <c r="L54" s="614"/>
    </row>
    <row r="55" spans="1:12" ht="15.75" thickBot="1">
      <c r="A55" s="606" t="s">
        <v>104</v>
      </c>
      <c r="B55" s="607"/>
      <c r="C55" s="607"/>
      <c r="D55" s="608"/>
      <c r="E55" s="390"/>
      <c r="F55" s="611"/>
      <c r="G55" s="597"/>
      <c r="H55" s="387"/>
      <c r="I55" s="612"/>
      <c r="J55" s="613"/>
      <c r="K55" s="613"/>
      <c r="L55" s="614"/>
    </row>
    <row r="56" spans="1:12" ht="15.75" thickBot="1">
      <c r="A56" s="606"/>
      <c r="B56" s="607"/>
      <c r="C56" s="607"/>
      <c r="D56" s="608"/>
      <c r="E56" s="390"/>
      <c r="F56" s="611"/>
      <c r="G56" s="597"/>
      <c r="H56" s="387"/>
      <c r="I56" s="612"/>
      <c r="J56" s="613"/>
      <c r="K56" s="613"/>
      <c r="L56" s="614"/>
    </row>
    <row r="57" spans="1:12" ht="15.75" thickBot="1">
      <c r="A57" s="606"/>
      <c r="B57" s="607"/>
      <c r="C57" s="607"/>
      <c r="D57" s="608"/>
      <c r="E57" s="390"/>
      <c r="F57" s="611"/>
      <c r="G57" s="597"/>
      <c r="H57" s="387"/>
      <c r="I57" s="612"/>
      <c r="J57" s="613"/>
      <c r="K57" s="613"/>
      <c r="L57" s="614"/>
    </row>
    <row r="58" spans="1:12" ht="15.75" thickBot="1">
      <c r="A58" s="606" t="s">
        <v>105</v>
      </c>
      <c r="B58" s="607"/>
      <c r="C58" s="607"/>
      <c r="D58" s="630"/>
      <c r="E58" s="390"/>
      <c r="F58" s="595"/>
      <c r="G58" s="597"/>
      <c r="H58" s="387"/>
      <c r="I58" s="612"/>
      <c r="J58" s="613"/>
      <c r="K58" s="613"/>
      <c r="L58" s="614"/>
    </row>
    <row r="59" spans="1:12" ht="15.75" thickBot="1">
      <c r="A59" s="606"/>
      <c r="B59" s="607"/>
      <c r="C59" s="607"/>
      <c r="D59" s="608"/>
      <c r="E59" s="390"/>
      <c r="F59" s="611"/>
      <c r="G59" s="597"/>
      <c r="H59" s="387"/>
      <c r="I59" s="612"/>
      <c r="J59" s="613"/>
      <c r="K59" s="613"/>
      <c r="L59" s="614"/>
    </row>
    <row r="60" spans="1:12" ht="15.75" thickBot="1">
      <c r="A60" s="606"/>
      <c r="B60" s="607"/>
      <c r="C60" s="607"/>
      <c r="D60" s="608"/>
      <c r="E60" s="390"/>
      <c r="F60" s="611"/>
      <c r="G60" s="597"/>
      <c r="H60" s="387"/>
      <c r="I60" s="612"/>
      <c r="J60" s="613"/>
      <c r="K60" s="613"/>
      <c r="L60" s="614"/>
    </row>
    <row r="61" spans="1:12" ht="15.75" thickBot="1">
      <c r="A61" s="606"/>
      <c r="B61" s="607"/>
      <c r="C61" s="607"/>
      <c r="D61" s="608"/>
      <c r="E61" s="390"/>
      <c r="F61" s="611"/>
      <c r="G61" s="597"/>
      <c r="H61" s="387"/>
      <c r="I61" s="612"/>
      <c r="J61" s="613"/>
      <c r="K61" s="613"/>
      <c r="L61" s="614"/>
    </row>
    <row r="62" spans="1:12" ht="15">
      <c r="A62" s="582"/>
      <c r="B62" s="582"/>
      <c r="C62" s="582"/>
      <c r="D62" s="582"/>
      <c r="E62" s="582"/>
      <c r="F62" s="582"/>
      <c r="G62" s="582"/>
      <c r="H62" s="582"/>
      <c r="I62" s="582"/>
      <c r="J62" s="582"/>
      <c r="K62" s="582"/>
      <c r="L62" s="582"/>
    </row>
    <row r="63" spans="1:12" ht="15">
      <c r="A63" s="552" t="s">
        <v>106</v>
      </c>
      <c r="B63" s="552"/>
      <c r="C63" s="552"/>
      <c r="D63" s="552"/>
      <c r="E63" s="552"/>
      <c r="F63" s="552"/>
      <c r="G63" s="552"/>
      <c r="H63" s="552"/>
      <c r="I63" s="552"/>
      <c r="J63" s="552"/>
      <c r="K63" s="552"/>
      <c r="L63" s="552"/>
    </row>
    <row r="64" spans="1:12" ht="15">
      <c r="A64" s="631" t="s">
        <v>612</v>
      </c>
      <c r="B64" s="631"/>
      <c r="C64" s="631"/>
      <c r="D64" s="631"/>
      <c r="E64" s="631"/>
      <c r="F64" s="631"/>
      <c r="G64" s="631"/>
      <c r="H64" s="631"/>
      <c r="I64" s="631"/>
      <c r="J64" s="631"/>
      <c r="K64" s="631"/>
      <c r="L64" s="631"/>
    </row>
    <row r="65" spans="1:12" ht="15.75" thickBot="1">
      <c r="A65" s="631" t="s">
        <v>107</v>
      </c>
      <c r="B65" s="631"/>
      <c r="C65" s="631"/>
      <c r="D65" s="631"/>
      <c r="E65" s="631"/>
      <c r="F65" s="631"/>
      <c r="G65" s="631"/>
      <c r="H65" s="631"/>
      <c r="I65" s="631"/>
      <c r="J65" s="631"/>
      <c r="K65" s="631"/>
      <c r="L65" s="631"/>
    </row>
    <row r="66" spans="1:12" ht="15.75" thickBot="1">
      <c r="A66" s="632" t="s">
        <v>258</v>
      </c>
      <c r="B66" s="633"/>
      <c r="C66" s="633"/>
      <c r="D66" s="633"/>
      <c r="E66" s="633"/>
      <c r="F66" s="634"/>
      <c r="G66" s="615" t="s">
        <v>108</v>
      </c>
      <c r="H66" s="616"/>
      <c r="I66" s="622"/>
      <c r="J66" s="635"/>
      <c r="K66" s="635"/>
      <c r="L66" s="635"/>
    </row>
    <row r="67" spans="1:12" ht="15.75" thickBot="1">
      <c r="A67" s="636">
        <v>1</v>
      </c>
      <c r="B67" s="637"/>
      <c r="C67" s="637"/>
      <c r="D67" s="637"/>
      <c r="E67" s="637"/>
      <c r="F67" s="637"/>
      <c r="G67" s="636">
        <v>2</v>
      </c>
      <c r="H67" s="637"/>
      <c r="I67" s="638"/>
      <c r="J67" s="631"/>
      <c r="K67" s="631"/>
      <c r="L67" s="631"/>
    </row>
    <row r="68" spans="1:12" ht="15">
      <c r="A68" s="583" t="s">
        <v>109</v>
      </c>
      <c r="B68" s="584"/>
      <c r="C68" s="584"/>
      <c r="D68" s="584"/>
      <c r="E68" s="584"/>
      <c r="F68" s="584"/>
      <c r="G68" s="583">
        <v>8057.8</v>
      </c>
      <c r="H68" s="584"/>
      <c r="I68" s="585"/>
      <c r="J68" s="631"/>
      <c r="K68" s="631"/>
      <c r="L68" s="631"/>
    </row>
    <row r="69" spans="1:12" ht="15.75" thickBot="1">
      <c r="A69" s="586"/>
      <c r="B69" s="587"/>
      <c r="C69" s="587"/>
      <c r="D69" s="587"/>
      <c r="E69" s="587"/>
      <c r="F69" s="587"/>
      <c r="G69" s="586"/>
      <c r="H69" s="587"/>
      <c r="I69" s="588"/>
      <c r="J69" s="631"/>
      <c r="K69" s="631"/>
      <c r="L69" s="631"/>
    </row>
    <row r="70" spans="1:12" ht="15.75" thickBot="1">
      <c r="A70" s="559" t="s">
        <v>613</v>
      </c>
      <c r="B70" s="560"/>
      <c r="C70" s="560"/>
      <c r="D70" s="560"/>
      <c r="E70" s="560"/>
      <c r="F70" s="560"/>
      <c r="G70" s="559">
        <v>6497</v>
      </c>
      <c r="H70" s="560"/>
      <c r="I70" s="561"/>
      <c r="J70" s="631"/>
      <c r="K70" s="631"/>
      <c r="L70" s="631"/>
    </row>
    <row r="71" spans="1:12" ht="15.75" thickBot="1">
      <c r="A71" s="570" t="s">
        <v>614</v>
      </c>
      <c r="B71" s="571"/>
      <c r="C71" s="571"/>
      <c r="D71" s="571"/>
      <c r="E71" s="571"/>
      <c r="F71" s="571"/>
      <c r="G71" s="570">
        <v>5774.2</v>
      </c>
      <c r="H71" s="571"/>
      <c r="I71" s="575"/>
      <c r="J71" s="631"/>
      <c r="K71" s="631"/>
      <c r="L71" s="631"/>
    </row>
    <row r="72" spans="1:12" ht="15.75" thickBot="1">
      <c r="A72" s="559" t="s">
        <v>615</v>
      </c>
      <c r="B72" s="560"/>
      <c r="C72" s="560"/>
      <c r="D72" s="560"/>
      <c r="E72" s="560"/>
      <c r="F72" s="560"/>
      <c r="G72" s="559"/>
      <c r="H72" s="560"/>
      <c r="I72" s="561"/>
      <c r="J72" s="631"/>
      <c r="K72" s="631"/>
      <c r="L72" s="631"/>
    </row>
    <row r="73" spans="1:12" ht="15.75" thickBot="1">
      <c r="A73" s="570" t="s">
        <v>110</v>
      </c>
      <c r="B73" s="571"/>
      <c r="C73" s="571"/>
      <c r="D73" s="571"/>
      <c r="E73" s="571"/>
      <c r="F73" s="571"/>
      <c r="G73" s="570"/>
      <c r="H73" s="571"/>
      <c r="I73" s="575"/>
      <c r="J73" s="631"/>
      <c r="K73" s="631"/>
      <c r="L73" s="631"/>
    </row>
    <row r="74" spans="1:12" ht="15.75" thickBot="1">
      <c r="A74" s="559" t="s">
        <v>111</v>
      </c>
      <c r="B74" s="560"/>
      <c r="C74" s="560"/>
      <c r="D74" s="560"/>
      <c r="E74" s="560"/>
      <c r="F74" s="560"/>
      <c r="G74" s="559"/>
      <c r="H74" s="560"/>
      <c r="I74" s="561"/>
      <c r="J74" s="631"/>
      <c r="K74" s="631"/>
      <c r="L74" s="631"/>
    </row>
    <row r="75" spans="1:12" ht="15.75" thickBot="1">
      <c r="A75" s="570"/>
      <c r="B75" s="571"/>
      <c r="C75" s="571"/>
      <c r="D75" s="571"/>
      <c r="E75" s="571"/>
      <c r="F75" s="571"/>
      <c r="G75" s="570"/>
      <c r="H75" s="571"/>
      <c r="I75" s="575"/>
      <c r="J75" s="631"/>
      <c r="K75" s="631"/>
      <c r="L75" s="631"/>
    </row>
    <row r="76" spans="1:12" ht="15.75" thickBot="1">
      <c r="A76" s="559" t="s">
        <v>112</v>
      </c>
      <c r="B76" s="560"/>
      <c r="C76" s="560"/>
      <c r="D76" s="560"/>
      <c r="E76" s="560"/>
      <c r="F76" s="560"/>
      <c r="G76" s="559"/>
      <c r="H76" s="560"/>
      <c r="I76" s="561"/>
      <c r="J76" s="631"/>
      <c r="K76" s="631"/>
      <c r="L76" s="631"/>
    </row>
    <row r="77" spans="1:12" ht="15.75" thickBot="1">
      <c r="A77" s="570" t="s">
        <v>113</v>
      </c>
      <c r="B77" s="571"/>
      <c r="C77" s="571"/>
      <c r="D77" s="571"/>
      <c r="E77" s="571"/>
      <c r="F77" s="571"/>
      <c r="G77" s="570"/>
      <c r="H77" s="571"/>
      <c r="I77" s="575"/>
      <c r="J77" s="631"/>
      <c r="K77" s="631"/>
      <c r="L77" s="631"/>
    </row>
    <row r="78" spans="1:12" ht="15.75" thickBot="1">
      <c r="A78" s="559" t="s">
        <v>114</v>
      </c>
      <c r="B78" s="560"/>
      <c r="C78" s="560"/>
      <c r="D78" s="560"/>
      <c r="E78" s="560"/>
      <c r="F78" s="560"/>
      <c r="G78" s="595"/>
      <c r="H78" s="596"/>
      <c r="I78" s="597"/>
      <c r="J78" s="639"/>
      <c r="K78" s="639"/>
      <c r="L78" s="639"/>
    </row>
    <row r="79" spans="1:12" ht="15.75" thickBot="1">
      <c r="A79" s="559" t="s">
        <v>115</v>
      </c>
      <c r="B79" s="560"/>
      <c r="C79" s="560"/>
      <c r="D79" s="560"/>
      <c r="E79" s="560"/>
      <c r="F79" s="560"/>
      <c r="G79" s="559"/>
      <c r="H79" s="560"/>
      <c r="I79" s="561"/>
      <c r="J79" s="631"/>
      <c r="K79" s="631"/>
      <c r="L79" s="631"/>
    </row>
    <row r="80" spans="1:12" ht="15.75" thickBot="1">
      <c r="A80" s="570" t="s">
        <v>116</v>
      </c>
      <c r="B80" s="571"/>
      <c r="C80" s="571"/>
      <c r="D80" s="571"/>
      <c r="E80" s="571"/>
      <c r="F80" s="571"/>
      <c r="G80" s="570"/>
      <c r="H80" s="571"/>
      <c r="I80" s="575"/>
      <c r="J80" s="631"/>
      <c r="K80" s="631"/>
      <c r="L80" s="631"/>
    </row>
    <row r="81" spans="1:12" ht="15">
      <c r="A81" s="570" t="s">
        <v>119</v>
      </c>
      <c r="B81" s="571"/>
      <c r="C81" s="571"/>
      <c r="D81" s="571"/>
      <c r="E81" s="571"/>
      <c r="F81" s="571"/>
      <c r="G81" s="570"/>
      <c r="H81" s="571"/>
      <c r="I81" s="575"/>
      <c r="J81" s="631"/>
      <c r="K81" s="631"/>
      <c r="L81" s="631"/>
    </row>
    <row r="82" spans="1:12" ht="15.75" thickBot="1">
      <c r="A82" s="556"/>
      <c r="B82" s="572"/>
      <c r="C82" s="572"/>
      <c r="D82" s="572"/>
      <c r="E82" s="572"/>
      <c r="F82" s="572"/>
      <c r="G82" s="556"/>
      <c r="H82" s="572"/>
      <c r="I82" s="557"/>
      <c r="J82" s="631"/>
      <c r="K82" s="631"/>
      <c r="L82" s="631"/>
    </row>
    <row r="83" spans="1:12" ht="15.75" thickBot="1">
      <c r="A83" s="570" t="s">
        <v>120</v>
      </c>
      <c r="B83" s="571"/>
      <c r="C83" s="571"/>
      <c r="D83" s="571"/>
      <c r="E83" s="571"/>
      <c r="F83" s="571"/>
      <c r="G83" s="570">
        <v>488965.11</v>
      </c>
      <c r="H83" s="571"/>
      <c r="I83" s="575"/>
      <c r="J83" s="631"/>
      <c r="K83" s="631"/>
      <c r="L83" s="631"/>
    </row>
    <row r="84" spans="1:12" ht="15.75" thickBot="1">
      <c r="A84" s="559" t="s">
        <v>121</v>
      </c>
      <c r="B84" s="560"/>
      <c r="C84" s="560"/>
      <c r="D84" s="560"/>
      <c r="E84" s="560"/>
      <c r="F84" s="560"/>
      <c r="G84" s="559"/>
      <c r="H84" s="560"/>
      <c r="I84" s="561"/>
      <c r="J84" s="631"/>
      <c r="K84" s="631"/>
      <c r="L84" s="631"/>
    </row>
    <row r="85" spans="1:12" ht="15">
      <c r="A85" s="552"/>
      <c r="B85" s="552"/>
      <c r="C85" s="552"/>
      <c r="D85" s="552"/>
      <c r="E85" s="552"/>
      <c r="F85" s="552"/>
      <c r="G85" s="552"/>
      <c r="H85" s="552"/>
      <c r="I85" s="552"/>
      <c r="J85" s="552"/>
      <c r="K85" s="552"/>
      <c r="L85" s="552"/>
    </row>
    <row r="86" spans="1:12" ht="15">
      <c r="A86" s="552" t="s">
        <v>122</v>
      </c>
      <c r="B86" s="552"/>
      <c r="C86" s="552"/>
      <c r="D86" s="552"/>
      <c r="E86" s="552"/>
      <c r="F86" s="552"/>
      <c r="G86" s="552"/>
      <c r="H86" s="552"/>
      <c r="I86" s="552"/>
      <c r="J86" s="552"/>
      <c r="K86" s="552"/>
      <c r="L86" s="552"/>
    </row>
    <row r="87" spans="1:12" ht="15">
      <c r="A87" s="552" t="s">
        <v>616</v>
      </c>
      <c r="B87" s="552"/>
      <c r="C87" s="552"/>
      <c r="D87" s="552"/>
      <c r="E87" s="552"/>
      <c r="F87" s="552"/>
      <c r="G87" s="552"/>
      <c r="H87" s="552"/>
      <c r="I87" s="552"/>
      <c r="J87" s="552"/>
      <c r="K87" s="552"/>
      <c r="L87" s="552"/>
    </row>
    <row r="88" spans="1:12" ht="15.75" thickBot="1">
      <c r="A88" s="639"/>
      <c r="B88" s="639"/>
      <c r="C88" s="639"/>
      <c r="D88" s="639"/>
      <c r="E88" s="639"/>
      <c r="F88" s="639"/>
      <c r="G88" s="639"/>
      <c r="H88" s="639"/>
      <c r="I88" s="639"/>
      <c r="J88" s="639"/>
      <c r="K88" s="639"/>
      <c r="L88" s="639"/>
    </row>
    <row r="89" spans="1:31" ht="15.75" thickBot="1">
      <c r="A89" s="538" t="s">
        <v>258</v>
      </c>
      <c r="B89" s="538"/>
      <c r="C89" s="538"/>
      <c r="D89" s="538"/>
      <c r="E89" s="657" t="s">
        <v>123</v>
      </c>
      <c r="F89" s="659" t="s">
        <v>117</v>
      </c>
      <c r="G89" s="659"/>
      <c r="H89" s="636" t="s">
        <v>124</v>
      </c>
      <c r="I89" s="644"/>
      <c r="J89" s="644"/>
      <c r="K89" s="644"/>
      <c r="L89" s="644"/>
      <c r="M89" s="644"/>
      <c r="N89" s="644"/>
      <c r="O89" s="645"/>
      <c r="P89" s="636" t="s">
        <v>125</v>
      </c>
      <c r="Q89" s="644"/>
      <c r="R89" s="644"/>
      <c r="S89" s="644"/>
      <c r="T89" s="644"/>
      <c r="U89" s="644"/>
      <c r="V89" s="644"/>
      <c r="W89" s="645"/>
      <c r="X89" s="636" t="s">
        <v>126</v>
      </c>
      <c r="Y89" s="644"/>
      <c r="Z89" s="644"/>
      <c r="AA89" s="644"/>
      <c r="AB89" s="644"/>
      <c r="AC89" s="644"/>
      <c r="AD89" s="644"/>
      <c r="AE89" s="645"/>
    </row>
    <row r="90" spans="1:31" ht="15.75" thickBot="1">
      <c r="A90" s="538"/>
      <c r="B90" s="538"/>
      <c r="C90" s="538"/>
      <c r="D90" s="538"/>
      <c r="E90" s="658"/>
      <c r="F90" s="659"/>
      <c r="G90" s="636"/>
      <c r="H90" s="646" t="s">
        <v>65</v>
      </c>
      <c r="I90" s="649" t="s">
        <v>127</v>
      </c>
      <c r="J90" s="650"/>
      <c r="K90" s="650"/>
      <c r="L90" s="650"/>
      <c r="M90" s="650"/>
      <c r="N90" s="650"/>
      <c r="O90" s="651"/>
      <c r="P90" s="646" t="s">
        <v>65</v>
      </c>
      <c r="Q90" s="649" t="s">
        <v>127</v>
      </c>
      <c r="R90" s="650"/>
      <c r="S90" s="650"/>
      <c r="T90" s="650"/>
      <c r="U90" s="650"/>
      <c r="V90" s="650"/>
      <c r="W90" s="651"/>
      <c r="X90" s="646" t="s">
        <v>65</v>
      </c>
      <c r="Y90" s="649" t="s">
        <v>127</v>
      </c>
      <c r="Z90" s="650"/>
      <c r="AA90" s="650"/>
      <c r="AB90" s="650"/>
      <c r="AC90" s="650"/>
      <c r="AD90" s="650"/>
      <c r="AE90" s="651"/>
    </row>
    <row r="91" spans="1:31" ht="15.75" thickBot="1">
      <c r="A91" s="538"/>
      <c r="B91" s="538"/>
      <c r="C91" s="538"/>
      <c r="D91" s="538"/>
      <c r="E91" s="658"/>
      <c r="F91" s="659"/>
      <c r="G91" s="636"/>
      <c r="H91" s="647"/>
      <c r="I91" s="656" t="s">
        <v>128</v>
      </c>
      <c r="J91" s="640" t="s">
        <v>129</v>
      </c>
      <c r="K91" s="641"/>
      <c r="L91" s="653" t="s">
        <v>130</v>
      </c>
      <c r="M91" s="653" t="s">
        <v>131</v>
      </c>
      <c r="N91" s="652" t="s">
        <v>132</v>
      </c>
      <c r="O91" s="634"/>
      <c r="P91" s="647"/>
      <c r="Q91" s="656" t="s">
        <v>128</v>
      </c>
      <c r="R91" s="640" t="s">
        <v>129</v>
      </c>
      <c r="S91" s="641"/>
      <c r="T91" s="653" t="s">
        <v>130</v>
      </c>
      <c r="U91" s="653" t="s">
        <v>131</v>
      </c>
      <c r="V91" s="652" t="s">
        <v>132</v>
      </c>
      <c r="W91" s="634"/>
      <c r="X91" s="647"/>
      <c r="Y91" s="656" t="s">
        <v>128</v>
      </c>
      <c r="Z91" s="640" t="s">
        <v>129</v>
      </c>
      <c r="AA91" s="641"/>
      <c r="AB91" s="653" t="s">
        <v>130</v>
      </c>
      <c r="AC91" s="653" t="s">
        <v>131</v>
      </c>
      <c r="AD91" s="652" t="s">
        <v>132</v>
      </c>
      <c r="AE91" s="634"/>
    </row>
    <row r="92" spans="1:31" ht="15.75" thickBot="1">
      <c r="A92" s="657"/>
      <c r="B92" s="657"/>
      <c r="C92" s="657"/>
      <c r="D92" s="657"/>
      <c r="E92" s="658"/>
      <c r="F92" s="625"/>
      <c r="G92" s="627"/>
      <c r="H92" s="648"/>
      <c r="I92" s="642"/>
      <c r="J92" s="642"/>
      <c r="K92" s="643"/>
      <c r="L92" s="655"/>
      <c r="M92" s="654"/>
      <c r="N92" s="394" t="s">
        <v>196</v>
      </c>
      <c r="O92" s="394" t="s">
        <v>133</v>
      </c>
      <c r="P92" s="648"/>
      <c r="Q92" s="642"/>
      <c r="R92" s="642"/>
      <c r="S92" s="643"/>
      <c r="T92" s="655"/>
      <c r="U92" s="654"/>
      <c r="V92" s="394" t="s">
        <v>196</v>
      </c>
      <c r="W92" s="394" t="s">
        <v>133</v>
      </c>
      <c r="X92" s="648"/>
      <c r="Y92" s="642"/>
      <c r="Z92" s="642"/>
      <c r="AA92" s="643"/>
      <c r="AB92" s="655"/>
      <c r="AC92" s="654"/>
      <c r="AD92" s="394" t="s">
        <v>196</v>
      </c>
      <c r="AE92" s="394" t="s">
        <v>133</v>
      </c>
    </row>
    <row r="93" spans="1:31" ht="15.75" thickBot="1">
      <c r="A93" s="664">
        <v>1</v>
      </c>
      <c r="B93" s="665"/>
      <c r="C93" s="665"/>
      <c r="D93" s="666"/>
      <c r="E93" s="391">
        <v>2</v>
      </c>
      <c r="F93" s="636">
        <v>3</v>
      </c>
      <c r="G93" s="667"/>
      <c r="H93" s="395">
        <v>4</v>
      </c>
      <c r="I93" s="396">
        <v>5</v>
      </c>
      <c r="J93" s="662">
        <v>6</v>
      </c>
      <c r="K93" s="663"/>
      <c r="L93" s="396">
        <v>7</v>
      </c>
      <c r="M93" s="397">
        <v>8</v>
      </c>
      <c r="N93" s="398">
        <v>9</v>
      </c>
      <c r="O93" s="399">
        <v>10</v>
      </c>
      <c r="P93" s="395">
        <v>4</v>
      </c>
      <c r="Q93" s="396">
        <v>5</v>
      </c>
      <c r="R93" s="662">
        <v>6</v>
      </c>
      <c r="S93" s="663"/>
      <c r="T93" s="396">
        <v>7</v>
      </c>
      <c r="U93" s="397">
        <v>8</v>
      </c>
      <c r="V93" s="398">
        <v>9</v>
      </c>
      <c r="W93" s="399">
        <v>10</v>
      </c>
      <c r="X93" s="395">
        <v>4</v>
      </c>
      <c r="Y93" s="396">
        <v>5</v>
      </c>
      <c r="Z93" s="662">
        <v>6</v>
      </c>
      <c r="AA93" s="663"/>
      <c r="AB93" s="396">
        <v>7</v>
      </c>
      <c r="AC93" s="397">
        <v>8</v>
      </c>
      <c r="AD93" s="398">
        <v>9</v>
      </c>
      <c r="AE93" s="399">
        <v>10</v>
      </c>
    </row>
    <row r="94" spans="1:31" ht="19.5" thickBot="1">
      <c r="A94" s="668" t="s">
        <v>134</v>
      </c>
      <c r="B94" s="668"/>
      <c r="C94" s="668"/>
      <c r="D94" s="668"/>
      <c r="E94" s="400">
        <v>100</v>
      </c>
      <c r="F94" s="669" t="s">
        <v>206</v>
      </c>
      <c r="G94" s="669"/>
      <c r="H94" s="372">
        <v>7669</v>
      </c>
      <c r="I94" s="401"/>
      <c r="J94" s="660"/>
      <c r="K94" s="661"/>
      <c r="L94" s="402"/>
      <c r="M94" s="403"/>
      <c r="N94" s="398"/>
      <c r="O94" s="399"/>
      <c r="P94" s="372"/>
      <c r="Q94" s="401"/>
      <c r="R94" s="660"/>
      <c r="S94" s="661"/>
      <c r="T94" s="402"/>
      <c r="U94" s="403"/>
      <c r="V94" s="398"/>
      <c r="W94" s="399"/>
      <c r="X94" s="372"/>
      <c r="Y94" s="401"/>
      <c r="Z94" s="660"/>
      <c r="AA94" s="661"/>
      <c r="AB94" s="402"/>
      <c r="AC94" s="403"/>
      <c r="AD94" s="398"/>
      <c r="AE94" s="399"/>
    </row>
    <row r="95" spans="1:31" ht="15.75" thickBot="1">
      <c r="A95" s="670" t="s">
        <v>617</v>
      </c>
      <c r="B95" s="670"/>
      <c r="C95" s="670"/>
      <c r="D95" s="670"/>
      <c r="E95" s="404">
        <v>110</v>
      </c>
      <c r="F95" s="538"/>
      <c r="G95" s="538"/>
      <c r="H95" s="405"/>
      <c r="I95" s="406" t="s">
        <v>206</v>
      </c>
      <c r="J95" s="671" t="s">
        <v>206</v>
      </c>
      <c r="K95" s="539"/>
      <c r="L95" s="407" t="s">
        <v>206</v>
      </c>
      <c r="M95" s="403" t="s">
        <v>206</v>
      </c>
      <c r="N95" s="398"/>
      <c r="O95" s="399" t="s">
        <v>206</v>
      </c>
      <c r="P95" s="405"/>
      <c r="Q95" s="406" t="s">
        <v>206</v>
      </c>
      <c r="R95" s="671" t="s">
        <v>206</v>
      </c>
      <c r="S95" s="539"/>
      <c r="T95" s="407" t="s">
        <v>206</v>
      </c>
      <c r="U95" s="403" t="s">
        <v>206</v>
      </c>
      <c r="V95" s="398"/>
      <c r="W95" s="399" t="s">
        <v>206</v>
      </c>
      <c r="X95" s="405"/>
      <c r="Y95" s="406" t="s">
        <v>206</v>
      </c>
      <c r="Z95" s="671" t="s">
        <v>206</v>
      </c>
      <c r="AA95" s="539"/>
      <c r="AB95" s="407" t="s">
        <v>206</v>
      </c>
      <c r="AC95" s="403" t="s">
        <v>206</v>
      </c>
      <c r="AD95" s="398"/>
      <c r="AE95" s="399" t="s">
        <v>206</v>
      </c>
    </row>
    <row r="96" spans="1:31" ht="15.75" thickBot="1">
      <c r="A96" s="672" t="s">
        <v>618</v>
      </c>
      <c r="B96" s="672"/>
      <c r="C96" s="672"/>
      <c r="D96" s="672"/>
      <c r="E96" s="393"/>
      <c r="F96" s="538"/>
      <c r="G96" s="538"/>
      <c r="H96" s="405">
        <v>7539</v>
      </c>
      <c r="I96" s="406"/>
      <c r="J96" s="671"/>
      <c r="K96" s="539"/>
      <c r="L96" s="407"/>
      <c r="M96" s="403"/>
      <c r="N96" s="398"/>
      <c r="O96" s="399"/>
      <c r="P96" s="405"/>
      <c r="Q96" s="406"/>
      <c r="R96" s="671"/>
      <c r="S96" s="539"/>
      <c r="T96" s="407"/>
      <c r="U96" s="403"/>
      <c r="V96" s="398"/>
      <c r="W96" s="399"/>
      <c r="X96" s="405"/>
      <c r="Y96" s="406"/>
      <c r="Z96" s="671"/>
      <c r="AA96" s="539"/>
      <c r="AB96" s="407"/>
      <c r="AC96" s="403"/>
      <c r="AD96" s="398"/>
      <c r="AE96" s="399"/>
    </row>
    <row r="97" spans="1:31" ht="15.75" thickBot="1">
      <c r="A97" s="670" t="s">
        <v>135</v>
      </c>
      <c r="B97" s="670"/>
      <c r="C97" s="670"/>
      <c r="D97" s="670"/>
      <c r="E97" s="404">
        <v>120</v>
      </c>
      <c r="F97" s="538"/>
      <c r="G97" s="538"/>
      <c r="H97" s="405"/>
      <c r="I97" s="406"/>
      <c r="J97" s="671" t="s">
        <v>206</v>
      </c>
      <c r="K97" s="539"/>
      <c r="L97" s="407" t="s">
        <v>206</v>
      </c>
      <c r="M97" s="403"/>
      <c r="N97" s="398"/>
      <c r="O97" s="399"/>
      <c r="P97" s="405"/>
      <c r="Q97" s="406"/>
      <c r="R97" s="671" t="s">
        <v>206</v>
      </c>
      <c r="S97" s="539"/>
      <c r="T97" s="407" t="s">
        <v>206</v>
      </c>
      <c r="U97" s="403"/>
      <c r="V97" s="398"/>
      <c r="W97" s="399"/>
      <c r="X97" s="405"/>
      <c r="Y97" s="406"/>
      <c r="Z97" s="671" t="s">
        <v>206</v>
      </c>
      <c r="AA97" s="539"/>
      <c r="AB97" s="407" t="s">
        <v>206</v>
      </c>
      <c r="AC97" s="403"/>
      <c r="AD97" s="398"/>
      <c r="AE97" s="399"/>
    </row>
    <row r="98" spans="1:31" ht="15.75" thickBot="1">
      <c r="A98" s="670" t="s">
        <v>136</v>
      </c>
      <c r="B98" s="670"/>
      <c r="C98" s="670"/>
      <c r="D98" s="670"/>
      <c r="E98" s="393">
        <v>130</v>
      </c>
      <c r="F98" s="538"/>
      <c r="G98" s="538"/>
      <c r="H98" s="405"/>
      <c r="I98" s="406" t="s">
        <v>206</v>
      </c>
      <c r="J98" s="671" t="s">
        <v>206</v>
      </c>
      <c r="K98" s="539"/>
      <c r="L98" s="407" t="s">
        <v>206</v>
      </c>
      <c r="M98" s="403" t="s">
        <v>206</v>
      </c>
      <c r="N98" s="398"/>
      <c r="O98" s="399" t="s">
        <v>206</v>
      </c>
      <c r="P98" s="405"/>
      <c r="Q98" s="406" t="s">
        <v>206</v>
      </c>
      <c r="R98" s="671" t="s">
        <v>206</v>
      </c>
      <c r="S98" s="539"/>
      <c r="T98" s="407" t="s">
        <v>206</v>
      </c>
      <c r="U98" s="403" t="s">
        <v>206</v>
      </c>
      <c r="V98" s="398"/>
      <c r="W98" s="399" t="s">
        <v>206</v>
      </c>
      <c r="X98" s="405"/>
      <c r="Y98" s="406" t="s">
        <v>206</v>
      </c>
      <c r="Z98" s="671" t="s">
        <v>206</v>
      </c>
      <c r="AA98" s="539"/>
      <c r="AB98" s="407" t="s">
        <v>206</v>
      </c>
      <c r="AC98" s="403" t="s">
        <v>206</v>
      </c>
      <c r="AD98" s="398"/>
      <c r="AE98" s="399" t="s">
        <v>206</v>
      </c>
    </row>
    <row r="99" spans="1:31" ht="15.75" thickBot="1">
      <c r="A99" s="672" t="s">
        <v>137</v>
      </c>
      <c r="B99" s="672"/>
      <c r="C99" s="672"/>
      <c r="D99" s="672"/>
      <c r="E99" s="393">
        <v>140</v>
      </c>
      <c r="F99" s="538"/>
      <c r="G99" s="538"/>
      <c r="H99" s="405"/>
      <c r="I99" s="406" t="s">
        <v>206</v>
      </c>
      <c r="J99" s="671" t="s">
        <v>206</v>
      </c>
      <c r="K99" s="539"/>
      <c r="L99" s="407" t="s">
        <v>206</v>
      </c>
      <c r="M99" s="403" t="s">
        <v>206</v>
      </c>
      <c r="N99" s="398"/>
      <c r="O99" s="399" t="s">
        <v>206</v>
      </c>
      <c r="P99" s="405"/>
      <c r="Q99" s="406" t="s">
        <v>206</v>
      </c>
      <c r="R99" s="671" t="s">
        <v>206</v>
      </c>
      <c r="S99" s="539"/>
      <c r="T99" s="407" t="s">
        <v>206</v>
      </c>
      <c r="U99" s="403" t="s">
        <v>206</v>
      </c>
      <c r="V99" s="398"/>
      <c r="W99" s="399" t="s">
        <v>206</v>
      </c>
      <c r="X99" s="405"/>
      <c r="Y99" s="406" t="s">
        <v>206</v>
      </c>
      <c r="Z99" s="671" t="s">
        <v>206</v>
      </c>
      <c r="AA99" s="539"/>
      <c r="AB99" s="407" t="s">
        <v>206</v>
      </c>
      <c r="AC99" s="403" t="s">
        <v>206</v>
      </c>
      <c r="AD99" s="398"/>
      <c r="AE99" s="399" t="s">
        <v>206</v>
      </c>
    </row>
    <row r="100" spans="1:31" ht="15.75" thickBot="1">
      <c r="A100" s="672" t="s">
        <v>138</v>
      </c>
      <c r="B100" s="672"/>
      <c r="C100" s="672"/>
      <c r="D100" s="672"/>
      <c r="E100" s="393">
        <v>150</v>
      </c>
      <c r="F100" s="538"/>
      <c r="G100" s="538"/>
      <c r="H100" s="405"/>
      <c r="I100" s="406" t="s">
        <v>206</v>
      </c>
      <c r="J100" s="671"/>
      <c r="K100" s="539"/>
      <c r="L100" s="407"/>
      <c r="M100" s="403" t="s">
        <v>206</v>
      </c>
      <c r="N100" s="398" t="s">
        <v>206</v>
      </c>
      <c r="O100" s="399" t="s">
        <v>206</v>
      </c>
      <c r="P100" s="405"/>
      <c r="Q100" s="406" t="s">
        <v>206</v>
      </c>
      <c r="R100" s="671"/>
      <c r="S100" s="539"/>
      <c r="T100" s="407"/>
      <c r="U100" s="403" t="s">
        <v>206</v>
      </c>
      <c r="V100" s="398" t="s">
        <v>206</v>
      </c>
      <c r="W100" s="399" t="s">
        <v>206</v>
      </c>
      <c r="X100" s="405"/>
      <c r="Y100" s="406" t="s">
        <v>206</v>
      </c>
      <c r="Z100" s="671"/>
      <c r="AA100" s="539"/>
      <c r="AB100" s="407"/>
      <c r="AC100" s="403" t="s">
        <v>206</v>
      </c>
      <c r="AD100" s="398" t="s">
        <v>206</v>
      </c>
      <c r="AE100" s="399" t="s">
        <v>206</v>
      </c>
    </row>
    <row r="101" spans="1:31" ht="15.75" thickBot="1">
      <c r="A101" s="672" t="s">
        <v>139</v>
      </c>
      <c r="B101" s="672"/>
      <c r="C101" s="672"/>
      <c r="D101" s="672"/>
      <c r="E101" s="393">
        <v>160</v>
      </c>
      <c r="F101" s="538"/>
      <c r="G101" s="538"/>
      <c r="H101" s="405">
        <v>130</v>
      </c>
      <c r="I101" s="406" t="s">
        <v>206</v>
      </c>
      <c r="J101" s="671" t="s">
        <v>206</v>
      </c>
      <c r="K101" s="539"/>
      <c r="L101" s="407" t="s">
        <v>206</v>
      </c>
      <c r="M101" s="403" t="s">
        <v>206</v>
      </c>
      <c r="N101" s="398"/>
      <c r="O101" s="399"/>
      <c r="P101" s="405"/>
      <c r="Q101" s="406" t="s">
        <v>206</v>
      </c>
      <c r="R101" s="671" t="s">
        <v>206</v>
      </c>
      <c r="S101" s="539"/>
      <c r="T101" s="407" t="s">
        <v>206</v>
      </c>
      <c r="U101" s="403" t="s">
        <v>206</v>
      </c>
      <c r="V101" s="398"/>
      <c r="W101" s="399"/>
      <c r="X101" s="405"/>
      <c r="Y101" s="406" t="s">
        <v>206</v>
      </c>
      <c r="Z101" s="671" t="s">
        <v>206</v>
      </c>
      <c r="AA101" s="539"/>
      <c r="AB101" s="407" t="s">
        <v>206</v>
      </c>
      <c r="AC101" s="403" t="s">
        <v>206</v>
      </c>
      <c r="AD101" s="398"/>
      <c r="AE101" s="399"/>
    </row>
    <row r="102" spans="1:31" ht="15.75" thickBot="1">
      <c r="A102" s="672" t="s">
        <v>140</v>
      </c>
      <c r="B102" s="672"/>
      <c r="C102" s="672"/>
      <c r="D102" s="672"/>
      <c r="E102" s="393">
        <v>180</v>
      </c>
      <c r="F102" s="538" t="s">
        <v>206</v>
      </c>
      <c r="G102" s="538"/>
      <c r="H102" s="405"/>
      <c r="I102" s="406" t="s">
        <v>206</v>
      </c>
      <c r="J102" s="671" t="s">
        <v>206</v>
      </c>
      <c r="K102" s="539"/>
      <c r="L102" s="407" t="s">
        <v>206</v>
      </c>
      <c r="M102" s="403" t="s">
        <v>206</v>
      </c>
      <c r="N102" s="398"/>
      <c r="O102" s="399" t="s">
        <v>206</v>
      </c>
      <c r="P102" s="405"/>
      <c r="Q102" s="406" t="s">
        <v>206</v>
      </c>
      <c r="R102" s="671" t="s">
        <v>206</v>
      </c>
      <c r="S102" s="539"/>
      <c r="T102" s="407" t="s">
        <v>206</v>
      </c>
      <c r="U102" s="403" t="s">
        <v>206</v>
      </c>
      <c r="V102" s="398"/>
      <c r="W102" s="399" t="s">
        <v>206</v>
      </c>
      <c r="X102" s="405"/>
      <c r="Y102" s="406" t="s">
        <v>206</v>
      </c>
      <c r="Z102" s="671" t="s">
        <v>206</v>
      </c>
      <c r="AA102" s="539"/>
      <c r="AB102" s="407" t="s">
        <v>206</v>
      </c>
      <c r="AC102" s="403" t="s">
        <v>206</v>
      </c>
      <c r="AD102" s="398"/>
      <c r="AE102" s="399" t="s">
        <v>206</v>
      </c>
    </row>
    <row r="103" spans="1:31" ht="16.5" thickBot="1">
      <c r="A103" s="674"/>
      <c r="B103" s="674"/>
      <c r="C103" s="674"/>
      <c r="D103" s="674"/>
      <c r="E103" s="408"/>
      <c r="F103" s="538"/>
      <c r="G103" s="538"/>
      <c r="H103" s="405"/>
      <c r="I103" s="406"/>
      <c r="J103" s="671"/>
      <c r="K103" s="539"/>
      <c r="L103" s="407"/>
      <c r="M103" s="403"/>
      <c r="N103" s="398"/>
      <c r="O103" s="399"/>
      <c r="P103" s="405"/>
      <c r="Q103" s="406"/>
      <c r="R103" s="671"/>
      <c r="S103" s="539"/>
      <c r="T103" s="407"/>
      <c r="U103" s="403"/>
      <c r="V103" s="398"/>
      <c r="W103" s="399"/>
      <c r="X103" s="405"/>
      <c r="Y103" s="406"/>
      <c r="Z103" s="671"/>
      <c r="AA103" s="539"/>
      <c r="AB103" s="407"/>
      <c r="AC103" s="403"/>
      <c r="AD103" s="398"/>
      <c r="AE103" s="399"/>
    </row>
    <row r="104" spans="1:31" ht="19.5" thickBot="1">
      <c r="A104" s="673" t="s">
        <v>141</v>
      </c>
      <c r="B104" s="673"/>
      <c r="C104" s="673"/>
      <c r="D104" s="673"/>
      <c r="E104" s="393">
        <v>200</v>
      </c>
      <c r="F104" s="538"/>
      <c r="G104" s="538"/>
      <c r="H104" s="405">
        <v>13931.7</v>
      </c>
      <c r="I104" s="406"/>
      <c r="J104" s="671"/>
      <c r="K104" s="539"/>
      <c r="L104" s="407"/>
      <c r="M104" s="403"/>
      <c r="N104" s="398"/>
      <c r="O104" s="399"/>
      <c r="P104" s="405"/>
      <c r="Q104" s="406"/>
      <c r="R104" s="671"/>
      <c r="S104" s="539"/>
      <c r="T104" s="407"/>
      <c r="U104" s="403"/>
      <c r="V104" s="398"/>
      <c r="W104" s="399"/>
      <c r="X104" s="405"/>
      <c r="Y104" s="406"/>
      <c r="Z104" s="671"/>
      <c r="AA104" s="539"/>
      <c r="AB104" s="407"/>
      <c r="AC104" s="403"/>
      <c r="AD104" s="398"/>
      <c r="AE104" s="399"/>
    </row>
    <row r="105" spans="1:31" ht="15.75" thickBot="1">
      <c r="A105" s="672" t="s">
        <v>142</v>
      </c>
      <c r="B105" s="672"/>
      <c r="C105" s="672"/>
      <c r="D105" s="672"/>
      <c r="E105" s="393">
        <v>210</v>
      </c>
      <c r="F105" s="538">
        <v>611</v>
      </c>
      <c r="G105" s="538"/>
      <c r="H105" s="405">
        <v>6355</v>
      </c>
      <c r="I105" s="406"/>
      <c r="J105" s="671"/>
      <c r="K105" s="539"/>
      <c r="L105" s="407"/>
      <c r="M105" s="403"/>
      <c r="N105" s="398"/>
      <c r="O105" s="399"/>
      <c r="P105" s="405"/>
      <c r="Q105" s="406"/>
      <c r="R105" s="671"/>
      <c r="S105" s="539"/>
      <c r="T105" s="407"/>
      <c r="U105" s="403"/>
      <c r="V105" s="398"/>
      <c r="W105" s="399"/>
      <c r="X105" s="405"/>
      <c r="Y105" s="406"/>
      <c r="Z105" s="671"/>
      <c r="AA105" s="539"/>
      <c r="AB105" s="407"/>
      <c r="AC105" s="403"/>
      <c r="AD105" s="398"/>
      <c r="AE105" s="399"/>
    </row>
    <row r="106" spans="1:31" ht="15.75" thickBot="1">
      <c r="A106" s="672" t="s">
        <v>143</v>
      </c>
      <c r="B106" s="672"/>
      <c r="C106" s="672"/>
      <c r="D106" s="672"/>
      <c r="E106" s="393">
        <v>211</v>
      </c>
      <c r="F106" s="538">
        <v>611</v>
      </c>
      <c r="G106" s="538"/>
      <c r="H106" s="405">
        <v>4880</v>
      </c>
      <c r="I106" s="406"/>
      <c r="J106" s="671"/>
      <c r="K106" s="539"/>
      <c r="L106" s="407"/>
      <c r="M106" s="403"/>
      <c r="N106" s="398"/>
      <c r="O106" s="399"/>
      <c r="P106" s="405"/>
      <c r="Q106" s="406"/>
      <c r="R106" s="671"/>
      <c r="S106" s="539"/>
      <c r="T106" s="407"/>
      <c r="U106" s="403"/>
      <c r="V106" s="398"/>
      <c r="W106" s="399"/>
      <c r="X106" s="405"/>
      <c r="Y106" s="406"/>
      <c r="Z106" s="671"/>
      <c r="AA106" s="539"/>
      <c r="AB106" s="407"/>
      <c r="AC106" s="403"/>
      <c r="AD106" s="398"/>
      <c r="AE106" s="399"/>
    </row>
    <row r="107" spans="1:31" ht="15.75" thickBot="1">
      <c r="A107" s="672" t="s">
        <v>144</v>
      </c>
      <c r="B107" s="672"/>
      <c r="C107" s="672"/>
      <c r="D107" s="672"/>
      <c r="E107" s="393">
        <v>220</v>
      </c>
      <c r="F107" s="538"/>
      <c r="G107" s="538"/>
      <c r="H107" s="405">
        <v>1</v>
      </c>
      <c r="I107" s="406"/>
      <c r="J107" s="671"/>
      <c r="K107" s="539"/>
      <c r="L107" s="407"/>
      <c r="M107" s="403"/>
      <c r="N107" s="398"/>
      <c r="O107" s="399"/>
      <c r="P107" s="405"/>
      <c r="Q107" s="406"/>
      <c r="R107" s="671"/>
      <c r="S107" s="539"/>
      <c r="T107" s="407"/>
      <c r="U107" s="403"/>
      <c r="V107" s="398"/>
      <c r="W107" s="399"/>
      <c r="X107" s="405"/>
      <c r="Y107" s="406"/>
      <c r="Z107" s="671"/>
      <c r="AA107" s="539"/>
      <c r="AB107" s="407"/>
      <c r="AC107" s="403"/>
      <c r="AD107" s="398"/>
      <c r="AE107" s="399"/>
    </row>
    <row r="108" spans="1:31" ht="15.75" thickBot="1">
      <c r="A108" s="636" t="s">
        <v>145</v>
      </c>
      <c r="B108" s="637"/>
      <c r="C108" s="637"/>
      <c r="D108" s="638"/>
      <c r="E108" s="404"/>
      <c r="F108" s="538"/>
      <c r="G108" s="538"/>
      <c r="H108" s="405"/>
      <c r="I108" s="406"/>
      <c r="J108" s="671"/>
      <c r="K108" s="539"/>
      <c r="L108" s="407"/>
      <c r="M108" s="403"/>
      <c r="N108" s="398"/>
      <c r="O108" s="399"/>
      <c r="P108" s="405"/>
      <c r="Q108" s="406"/>
      <c r="R108" s="671"/>
      <c r="S108" s="539"/>
      <c r="T108" s="407"/>
      <c r="U108" s="403"/>
      <c r="V108" s="398"/>
      <c r="W108" s="399"/>
      <c r="X108" s="405"/>
      <c r="Y108" s="406"/>
      <c r="Z108" s="671"/>
      <c r="AA108" s="539"/>
      <c r="AB108" s="407"/>
      <c r="AC108" s="403"/>
      <c r="AD108" s="398"/>
      <c r="AE108" s="399"/>
    </row>
    <row r="109" spans="1:31" ht="15.75" thickBot="1">
      <c r="A109" s="672" t="s">
        <v>146</v>
      </c>
      <c r="B109" s="672"/>
      <c r="C109" s="672"/>
      <c r="D109" s="672"/>
      <c r="E109" s="393">
        <v>230</v>
      </c>
      <c r="F109" s="538">
        <v>611</v>
      </c>
      <c r="G109" s="538"/>
      <c r="H109" s="405">
        <v>1474</v>
      </c>
      <c r="I109" s="406"/>
      <c r="J109" s="671"/>
      <c r="K109" s="539"/>
      <c r="L109" s="407"/>
      <c r="M109" s="403"/>
      <c r="N109" s="398"/>
      <c r="O109" s="399"/>
      <c r="P109" s="405"/>
      <c r="Q109" s="406"/>
      <c r="R109" s="671"/>
      <c r="S109" s="539"/>
      <c r="T109" s="407"/>
      <c r="U109" s="403"/>
      <c r="V109" s="398"/>
      <c r="W109" s="399"/>
      <c r="X109" s="405"/>
      <c r="Y109" s="406"/>
      <c r="Z109" s="671"/>
      <c r="AA109" s="539"/>
      <c r="AB109" s="407"/>
      <c r="AC109" s="403"/>
      <c r="AD109" s="398"/>
      <c r="AE109" s="399"/>
    </row>
    <row r="110" spans="1:31" ht="15.75" thickBot="1">
      <c r="A110" s="636" t="s">
        <v>145</v>
      </c>
      <c r="B110" s="637"/>
      <c r="C110" s="637"/>
      <c r="D110" s="638"/>
      <c r="E110" s="393"/>
      <c r="F110" s="538"/>
      <c r="G110" s="538"/>
      <c r="H110" s="405"/>
      <c r="I110" s="406"/>
      <c r="J110" s="671"/>
      <c r="K110" s="539"/>
      <c r="L110" s="407"/>
      <c r="M110" s="403"/>
      <c r="N110" s="398"/>
      <c r="O110" s="399"/>
      <c r="P110" s="405"/>
      <c r="Q110" s="406"/>
      <c r="R110" s="671"/>
      <c r="S110" s="539"/>
      <c r="T110" s="407"/>
      <c r="U110" s="403"/>
      <c r="V110" s="398"/>
      <c r="W110" s="399"/>
      <c r="X110" s="405"/>
      <c r="Y110" s="406"/>
      <c r="Z110" s="671"/>
      <c r="AA110" s="539"/>
      <c r="AB110" s="407"/>
      <c r="AC110" s="403"/>
      <c r="AD110" s="398"/>
      <c r="AE110" s="399"/>
    </row>
    <row r="111" spans="1:31" ht="15.75" thickBot="1">
      <c r="A111" s="672" t="s">
        <v>147</v>
      </c>
      <c r="B111" s="672"/>
      <c r="C111" s="672"/>
      <c r="D111" s="672"/>
      <c r="E111" s="393">
        <v>240</v>
      </c>
      <c r="F111" s="538"/>
      <c r="G111" s="538"/>
      <c r="H111" s="405"/>
      <c r="I111" s="406"/>
      <c r="J111" s="671"/>
      <c r="K111" s="539"/>
      <c r="L111" s="407"/>
      <c r="M111" s="403"/>
      <c r="N111" s="398"/>
      <c r="O111" s="399"/>
      <c r="P111" s="405"/>
      <c r="Q111" s="406"/>
      <c r="R111" s="671"/>
      <c r="S111" s="539"/>
      <c r="T111" s="407"/>
      <c r="U111" s="403"/>
      <c r="V111" s="398"/>
      <c r="W111" s="399"/>
      <c r="X111" s="405"/>
      <c r="Y111" s="406"/>
      <c r="Z111" s="671"/>
      <c r="AA111" s="539"/>
      <c r="AB111" s="407"/>
      <c r="AC111" s="403"/>
      <c r="AD111" s="398"/>
      <c r="AE111" s="399"/>
    </row>
    <row r="112" spans="1:31" ht="15.75" thickBot="1">
      <c r="A112" s="672"/>
      <c r="B112" s="672"/>
      <c r="C112" s="672"/>
      <c r="D112" s="672"/>
      <c r="E112" s="393"/>
      <c r="F112" s="538"/>
      <c r="G112" s="538"/>
      <c r="H112" s="405"/>
      <c r="I112" s="406"/>
      <c r="J112" s="671"/>
      <c r="K112" s="539"/>
      <c r="L112" s="407"/>
      <c r="M112" s="403"/>
      <c r="N112" s="398"/>
      <c r="O112" s="399"/>
      <c r="P112" s="405"/>
      <c r="Q112" s="406"/>
      <c r="R112" s="671"/>
      <c r="S112" s="539"/>
      <c r="T112" s="407"/>
      <c r="U112" s="403"/>
      <c r="V112" s="398"/>
      <c r="W112" s="399"/>
      <c r="X112" s="405"/>
      <c r="Y112" s="406"/>
      <c r="Z112" s="671"/>
      <c r="AA112" s="539"/>
      <c r="AB112" s="407"/>
      <c r="AC112" s="403"/>
      <c r="AD112" s="398"/>
      <c r="AE112" s="399"/>
    </row>
    <row r="113" spans="1:31" ht="15.75" thickBot="1">
      <c r="A113" s="672" t="s">
        <v>148</v>
      </c>
      <c r="B113" s="672"/>
      <c r="C113" s="672"/>
      <c r="D113" s="672"/>
      <c r="E113" s="393">
        <v>250</v>
      </c>
      <c r="F113" s="538">
        <v>611</v>
      </c>
      <c r="G113" s="538"/>
      <c r="H113" s="405">
        <v>212.7</v>
      </c>
      <c r="I113" s="406"/>
      <c r="J113" s="671"/>
      <c r="K113" s="539"/>
      <c r="L113" s="407"/>
      <c r="M113" s="403"/>
      <c r="N113" s="398"/>
      <c r="O113" s="399"/>
      <c r="P113" s="405"/>
      <c r="Q113" s="406"/>
      <c r="R113" s="671"/>
      <c r="S113" s="539"/>
      <c r="T113" s="407"/>
      <c r="U113" s="403"/>
      <c r="V113" s="398"/>
      <c r="W113" s="399"/>
      <c r="X113" s="405"/>
      <c r="Y113" s="406"/>
      <c r="Z113" s="671"/>
      <c r="AA113" s="539"/>
      <c r="AB113" s="407"/>
      <c r="AC113" s="403"/>
      <c r="AD113" s="398"/>
      <c r="AE113" s="399"/>
    </row>
    <row r="114" spans="1:31" ht="15.75" thickBot="1">
      <c r="A114" s="672" t="s">
        <v>149</v>
      </c>
      <c r="B114" s="672"/>
      <c r="C114" s="672"/>
      <c r="D114" s="672"/>
      <c r="E114" s="393">
        <v>260</v>
      </c>
      <c r="F114" s="538" t="s">
        <v>206</v>
      </c>
      <c r="G114" s="538"/>
      <c r="H114" s="405">
        <v>1010</v>
      </c>
      <c r="I114" s="406"/>
      <c r="J114" s="671"/>
      <c r="K114" s="539"/>
      <c r="L114" s="407"/>
      <c r="M114" s="403"/>
      <c r="N114" s="398"/>
      <c r="O114" s="399"/>
      <c r="P114" s="405"/>
      <c r="Q114" s="406"/>
      <c r="R114" s="671"/>
      <c r="S114" s="539"/>
      <c r="T114" s="407"/>
      <c r="U114" s="403"/>
      <c r="V114" s="398"/>
      <c r="W114" s="399"/>
      <c r="X114" s="405"/>
      <c r="Y114" s="406"/>
      <c r="Z114" s="671"/>
      <c r="AA114" s="539"/>
      <c r="AB114" s="407"/>
      <c r="AC114" s="403"/>
      <c r="AD114" s="398"/>
      <c r="AE114" s="399"/>
    </row>
    <row r="115" spans="1:31" ht="15.75" thickBot="1">
      <c r="A115" s="672"/>
      <c r="B115" s="672"/>
      <c r="C115" s="672"/>
      <c r="D115" s="672"/>
      <c r="E115" s="393"/>
      <c r="F115" s="538"/>
      <c r="G115" s="538"/>
      <c r="H115" s="405"/>
      <c r="I115" s="406"/>
      <c r="J115" s="671"/>
      <c r="K115" s="539"/>
      <c r="L115" s="407"/>
      <c r="M115" s="403"/>
      <c r="N115" s="398"/>
      <c r="O115" s="399"/>
      <c r="P115" s="405"/>
      <c r="Q115" s="406"/>
      <c r="R115" s="671"/>
      <c r="S115" s="539"/>
      <c r="T115" s="407"/>
      <c r="U115" s="403"/>
      <c r="V115" s="398"/>
      <c r="W115" s="399"/>
      <c r="X115" s="405"/>
      <c r="Y115" s="406"/>
      <c r="Z115" s="671"/>
      <c r="AA115" s="539"/>
      <c r="AB115" s="407"/>
      <c r="AC115" s="403"/>
      <c r="AD115" s="398"/>
      <c r="AE115" s="399"/>
    </row>
    <row r="116" spans="1:31" ht="15.75" thickBot="1">
      <c r="A116" s="672"/>
      <c r="B116" s="672"/>
      <c r="C116" s="672"/>
      <c r="D116" s="672"/>
      <c r="E116" s="393"/>
      <c r="F116" s="538"/>
      <c r="G116" s="538"/>
      <c r="H116" s="405"/>
      <c r="I116" s="406"/>
      <c r="J116" s="671"/>
      <c r="K116" s="539"/>
      <c r="L116" s="407"/>
      <c r="M116" s="403"/>
      <c r="N116" s="398"/>
      <c r="O116" s="399"/>
      <c r="P116" s="405"/>
      <c r="Q116" s="406"/>
      <c r="R116" s="671"/>
      <c r="S116" s="539"/>
      <c r="T116" s="407"/>
      <c r="U116" s="403"/>
      <c r="V116" s="398"/>
      <c r="W116" s="399"/>
      <c r="X116" s="405"/>
      <c r="Y116" s="406"/>
      <c r="Z116" s="671"/>
      <c r="AA116" s="539"/>
      <c r="AB116" s="407"/>
      <c r="AC116" s="403"/>
      <c r="AD116" s="398"/>
      <c r="AE116" s="399"/>
    </row>
    <row r="117" spans="1:31" ht="19.5" thickBot="1">
      <c r="A117" s="673" t="s">
        <v>150</v>
      </c>
      <c r="B117" s="673"/>
      <c r="C117" s="673"/>
      <c r="D117" s="673"/>
      <c r="E117" s="409">
        <v>300</v>
      </c>
      <c r="F117" s="538" t="s">
        <v>206</v>
      </c>
      <c r="G117" s="538"/>
      <c r="H117" s="405"/>
      <c r="I117" s="406"/>
      <c r="J117" s="671"/>
      <c r="K117" s="539"/>
      <c r="L117" s="407"/>
      <c r="M117" s="403"/>
      <c r="N117" s="398"/>
      <c r="O117" s="399"/>
      <c r="P117" s="405"/>
      <c r="Q117" s="406"/>
      <c r="R117" s="671"/>
      <c r="S117" s="539"/>
      <c r="T117" s="407"/>
      <c r="U117" s="403"/>
      <c r="V117" s="398"/>
      <c r="W117" s="399"/>
      <c r="X117" s="405"/>
      <c r="Y117" s="406"/>
      <c r="Z117" s="671"/>
      <c r="AA117" s="539"/>
      <c r="AB117" s="407"/>
      <c r="AC117" s="403"/>
      <c r="AD117" s="398"/>
      <c r="AE117" s="399"/>
    </row>
    <row r="118" spans="1:31" ht="15.75" thickBot="1">
      <c r="A118" s="672" t="s">
        <v>151</v>
      </c>
      <c r="B118" s="672"/>
      <c r="C118" s="672"/>
      <c r="D118" s="672"/>
      <c r="E118" s="393">
        <v>310</v>
      </c>
      <c r="F118" s="538"/>
      <c r="G118" s="538"/>
      <c r="H118" s="405"/>
      <c r="I118" s="406"/>
      <c r="J118" s="671"/>
      <c r="K118" s="539"/>
      <c r="L118" s="407"/>
      <c r="M118" s="403"/>
      <c r="N118" s="398"/>
      <c r="O118" s="399"/>
      <c r="P118" s="405"/>
      <c r="Q118" s="406"/>
      <c r="R118" s="671"/>
      <c r="S118" s="539"/>
      <c r="T118" s="407"/>
      <c r="U118" s="403"/>
      <c r="V118" s="398"/>
      <c r="W118" s="399"/>
      <c r="X118" s="405"/>
      <c r="Y118" s="406"/>
      <c r="Z118" s="671"/>
      <c r="AA118" s="539"/>
      <c r="AB118" s="407"/>
      <c r="AC118" s="403"/>
      <c r="AD118" s="398"/>
      <c r="AE118" s="399"/>
    </row>
    <row r="119" spans="1:31" ht="15.75" thickBot="1">
      <c r="A119" s="672" t="s">
        <v>152</v>
      </c>
      <c r="B119" s="672"/>
      <c r="C119" s="672"/>
      <c r="D119" s="672"/>
      <c r="E119" s="393">
        <v>320</v>
      </c>
      <c r="F119" s="538"/>
      <c r="G119" s="538"/>
      <c r="H119" s="405"/>
      <c r="I119" s="406"/>
      <c r="J119" s="671"/>
      <c r="K119" s="539"/>
      <c r="L119" s="407"/>
      <c r="M119" s="403"/>
      <c r="N119" s="398"/>
      <c r="O119" s="399"/>
      <c r="P119" s="405"/>
      <c r="Q119" s="406"/>
      <c r="R119" s="671"/>
      <c r="S119" s="539"/>
      <c r="T119" s="407"/>
      <c r="U119" s="403"/>
      <c r="V119" s="398"/>
      <c r="W119" s="399"/>
      <c r="X119" s="405"/>
      <c r="Y119" s="406"/>
      <c r="Z119" s="671"/>
      <c r="AA119" s="539"/>
      <c r="AB119" s="407"/>
      <c r="AC119" s="403"/>
      <c r="AD119" s="398"/>
      <c r="AE119" s="399"/>
    </row>
    <row r="120" spans="1:31" ht="19.5" thickBot="1">
      <c r="A120" s="673" t="s">
        <v>153</v>
      </c>
      <c r="B120" s="673"/>
      <c r="C120" s="673"/>
      <c r="D120" s="673"/>
      <c r="E120" s="409">
        <v>400</v>
      </c>
      <c r="F120" s="675"/>
      <c r="G120" s="675"/>
      <c r="H120" s="410"/>
      <c r="I120" s="411"/>
      <c r="J120" s="676"/>
      <c r="K120" s="677"/>
      <c r="L120" s="412"/>
      <c r="M120" s="413"/>
      <c r="N120" s="414"/>
      <c r="O120" s="415"/>
      <c r="P120" s="410"/>
      <c r="Q120" s="411"/>
      <c r="R120" s="676"/>
      <c r="S120" s="677"/>
      <c r="T120" s="412"/>
      <c r="U120" s="413"/>
      <c r="V120" s="414"/>
      <c r="W120" s="415"/>
      <c r="X120" s="410"/>
      <c r="Y120" s="411"/>
      <c r="Z120" s="676"/>
      <c r="AA120" s="677"/>
      <c r="AB120" s="412"/>
      <c r="AC120" s="413"/>
      <c r="AD120" s="414"/>
      <c r="AE120" s="415"/>
    </row>
    <row r="121" spans="1:31" ht="15.75" thickBot="1">
      <c r="A121" s="672" t="s">
        <v>154</v>
      </c>
      <c r="B121" s="672"/>
      <c r="C121" s="672"/>
      <c r="D121" s="672"/>
      <c r="E121" s="393">
        <v>410</v>
      </c>
      <c r="F121" s="538"/>
      <c r="G121" s="538"/>
      <c r="H121" s="405"/>
      <c r="I121" s="406"/>
      <c r="J121" s="671"/>
      <c r="K121" s="539"/>
      <c r="L121" s="407"/>
      <c r="M121" s="403"/>
      <c r="N121" s="398"/>
      <c r="O121" s="399"/>
      <c r="P121" s="405"/>
      <c r="Q121" s="406"/>
      <c r="R121" s="671"/>
      <c r="S121" s="539"/>
      <c r="T121" s="407"/>
      <c r="U121" s="403"/>
      <c r="V121" s="398"/>
      <c r="W121" s="399"/>
      <c r="X121" s="405"/>
      <c r="Y121" s="406"/>
      <c r="Z121" s="671"/>
      <c r="AA121" s="539"/>
      <c r="AB121" s="407"/>
      <c r="AC121" s="403"/>
      <c r="AD121" s="398"/>
      <c r="AE121" s="399"/>
    </row>
    <row r="122" spans="1:31" ht="15.75" thickBot="1">
      <c r="A122" s="672" t="s">
        <v>155</v>
      </c>
      <c r="B122" s="672"/>
      <c r="C122" s="672"/>
      <c r="D122" s="672"/>
      <c r="E122" s="393">
        <v>420</v>
      </c>
      <c r="F122" s="538"/>
      <c r="G122" s="538"/>
      <c r="H122" s="405"/>
      <c r="I122" s="406"/>
      <c r="J122" s="671"/>
      <c r="K122" s="539"/>
      <c r="L122" s="407"/>
      <c r="M122" s="403"/>
      <c r="N122" s="398"/>
      <c r="O122" s="399"/>
      <c r="P122" s="405"/>
      <c r="Q122" s="406"/>
      <c r="R122" s="671"/>
      <c r="S122" s="539"/>
      <c r="T122" s="407"/>
      <c r="U122" s="403"/>
      <c r="V122" s="398"/>
      <c r="W122" s="399"/>
      <c r="X122" s="405"/>
      <c r="Y122" s="406"/>
      <c r="Z122" s="671"/>
      <c r="AA122" s="539"/>
      <c r="AB122" s="407"/>
      <c r="AC122" s="403"/>
      <c r="AD122" s="398"/>
      <c r="AE122" s="399"/>
    </row>
    <row r="123" spans="1:31" ht="19.5" thickBot="1">
      <c r="A123" s="673" t="s">
        <v>156</v>
      </c>
      <c r="B123" s="673"/>
      <c r="C123" s="673"/>
      <c r="D123" s="673"/>
      <c r="E123" s="409">
        <v>500</v>
      </c>
      <c r="F123" s="538" t="s">
        <v>206</v>
      </c>
      <c r="G123" s="538"/>
      <c r="H123" s="405"/>
      <c r="I123" s="406"/>
      <c r="J123" s="671"/>
      <c r="K123" s="539"/>
      <c r="L123" s="407"/>
      <c r="M123" s="403"/>
      <c r="N123" s="398"/>
      <c r="O123" s="399"/>
      <c r="P123" s="405"/>
      <c r="Q123" s="406"/>
      <c r="R123" s="671"/>
      <c r="S123" s="539"/>
      <c r="T123" s="407"/>
      <c r="U123" s="403"/>
      <c r="V123" s="398"/>
      <c r="W123" s="399"/>
      <c r="X123" s="405"/>
      <c r="Y123" s="406"/>
      <c r="Z123" s="671"/>
      <c r="AA123" s="539"/>
      <c r="AB123" s="407"/>
      <c r="AC123" s="403"/>
      <c r="AD123" s="398"/>
      <c r="AE123" s="399"/>
    </row>
    <row r="124" spans="1:31" ht="19.5" thickBot="1">
      <c r="A124" s="673" t="s">
        <v>157</v>
      </c>
      <c r="B124" s="673"/>
      <c r="C124" s="673"/>
      <c r="D124" s="673"/>
      <c r="E124" s="409">
        <v>600</v>
      </c>
      <c r="F124" s="538" t="s">
        <v>206</v>
      </c>
      <c r="G124" s="538"/>
      <c r="H124" s="405"/>
      <c r="I124" s="406"/>
      <c r="J124" s="671"/>
      <c r="K124" s="539"/>
      <c r="L124" s="407"/>
      <c r="M124" s="403"/>
      <c r="N124" s="398"/>
      <c r="O124" s="399"/>
      <c r="P124" s="405"/>
      <c r="Q124" s="406"/>
      <c r="R124" s="671"/>
      <c r="S124" s="539"/>
      <c r="T124" s="407"/>
      <c r="U124" s="403"/>
      <c r="V124" s="398"/>
      <c r="W124" s="399"/>
      <c r="X124" s="405"/>
      <c r="Y124" s="406"/>
      <c r="Z124" s="671"/>
      <c r="AA124" s="539"/>
      <c r="AB124" s="407"/>
      <c r="AC124" s="403"/>
      <c r="AD124" s="398"/>
      <c r="AE124" s="399"/>
    </row>
    <row r="125" spans="1:25" ht="40.5" customHeight="1">
      <c r="A125" s="687" t="s">
        <v>118</v>
      </c>
      <c r="B125" s="687"/>
      <c r="C125" s="687"/>
      <c r="D125" s="687"/>
      <c r="E125" s="687"/>
      <c r="F125" s="687"/>
      <c r="G125" s="687"/>
      <c r="H125" s="687"/>
      <c r="I125" s="687"/>
      <c r="J125" s="687"/>
      <c r="K125" s="687"/>
      <c r="L125" s="687"/>
      <c r="M125" s="687"/>
      <c r="N125" s="687"/>
      <c r="O125" s="687"/>
      <c r="P125" s="687"/>
      <c r="Q125" s="687"/>
      <c r="R125" s="687"/>
      <c r="S125" s="687"/>
      <c r="T125" s="687"/>
      <c r="U125" s="687"/>
      <c r="V125" s="687"/>
      <c r="W125" s="687"/>
      <c r="X125" s="687"/>
      <c r="Y125" s="687"/>
    </row>
    <row r="126" spans="1:15" ht="15">
      <c r="A126" s="695" t="s">
        <v>158</v>
      </c>
      <c r="B126" s="696"/>
      <c r="C126" s="696"/>
      <c r="D126" s="696"/>
      <c r="E126" s="696"/>
      <c r="F126" s="696"/>
      <c r="G126" s="696"/>
      <c r="H126" s="696"/>
      <c r="I126" s="696"/>
      <c r="J126" s="696"/>
      <c r="K126" s="696"/>
      <c r="L126" s="696"/>
      <c r="M126" s="696"/>
      <c r="N126" s="696"/>
      <c r="O126" s="696"/>
    </row>
    <row r="127" spans="1:15" ht="15.75" thickBot="1">
      <c r="A127" s="695" t="s">
        <v>632</v>
      </c>
      <c r="B127" s="696"/>
      <c r="C127" s="696"/>
      <c r="D127" s="696"/>
      <c r="E127" s="696"/>
      <c r="F127" s="696"/>
      <c r="G127" s="696"/>
      <c r="H127" s="696"/>
      <c r="I127" s="696"/>
      <c r="J127" s="696"/>
      <c r="K127" s="696"/>
      <c r="L127" s="696"/>
      <c r="M127" s="696"/>
      <c r="N127" s="696"/>
      <c r="O127" s="696"/>
    </row>
    <row r="128" spans="1:17" ht="15.75" thickBot="1">
      <c r="A128" s="702" t="s">
        <v>258</v>
      </c>
      <c r="B128" s="703"/>
      <c r="C128" s="703"/>
      <c r="D128" s="704"/>
      <c r="E128" s="711" t="s">
        <v>123</v>
      </c>
      <c r="F128" s="711" t="s">
        <v>159</v>
      </c>
      <c r="G128" s="664" t="s">
        <v>160</v>
      </c>
      <c r="H128" s="678"/>
      <c r="I128" s="678"/>
      <c r="J128" s="678"/>
      <c r="K128" s="678"/>
      <c r="L128" s="678"/>
      <c r="M128" s="678"/>
      <c r="N128" s="678"/>
      <c r="O128" s="678"/>
      <c r="P128" s="678"/>
      <c r="Q128" s="679"/>
    </row>
    <row r="129" spans="1:17" ht="15.75" thickBot="1">
      <c r="A129" s="705"/>
      <c r="B129" s="706"/>
      <c r="C129" s="706"/>
      <c r="D129" s="707"/>
      <c r="E129" s="712"/>
      <c r="F129" s="712"/>
      <c r="G129" s="680" t="s">
        <v>161</v>
      </c>
      <c r="H129" s="681"/>
      <c r="I129" s="681"/>
      <c r="J129" s="682"/>
      <c r="K129" s="694" t="s">
        <v>127</v>
      </c>
      <c r="L129" s="678"/>
      <c r="M129" s="678"/>
      <c r="N129" s="678"/>
      <c r="O129" s="678"/>
      <c r="P129" s="678"/>
      <c r="Q129" s="679"/>
    </row>
    <row r="130" spans="1:17" ht="15">
      <c r="A130" s="705"/>
      <c r="B130" s="706"/>
      <c r="C130" s="706"/>
      <c r="D130" s="707"/>
      <c r="E130" s="712"/>
      <c r="F130" s="712"/>
      <c r="G130" s="683"/>
      <c r="H130" s="681"/>
      <c r="I130" s="681"/>
      <c r="J130" s="682"/>
      <c r="K130" s="688" t="s">
        <v>162</v>
      </c>
      <c r="L130" s="689"/>
      <c r="M130" s="689"/>
      <c r="N130" s="690"/>
      <c r="O130" s="688" t="s">
        <v>163</v>
      </c>
      <c r="P130" s="689"/>
      <c r="Q130" s="690"/>
    </row>
    <row r="131" spans="1:17" ht="23.25" customHeight="1" thickBot="1">
      <c r="A131" s="705"/>
      <c r="B131" s="706"/>
      <c r="C131" s="706"/>
      <c r="D131" s="707"/>
      <c r="E131" s="712"/>
      <c r="F131" s="712"/>
      <c r="G131" s="684"/>
      <c r="H131" s="685"/>
      <c r="I131" s="685"/>
      <c r="J131" s="686"/>
      <c r="K131" s="691"/>
      <c r="L131" s="692"/>
      <c r="M131" s="692"/>
      <c r="N131" s="693"/>
      <c r="O131" s="691"/>
      <c r="P131" s="692"/>
      <c r="Q131" s="693"/>
    </row>
    <row r="132" spans="1:17" ht="77.25" thickBot="1">
      <c r="A132" s="708"/>
      <c r="B132" s="709"/>
      <c r="C132" s="709"/>
      <c r="D132" s="710"/>
      <c r="E132" s="713"/>
      <c r="F132" s="713"/>
      <c r="G132" s="697" t="s">
        <v>619</v>
      </c>
      <c r="H132" s="698"/>
      <c r="I132" s="426" t="s">
        <v>164</v>
      </c>
      <c r="J132" s="426" t="s">
        <v>165</v>
      </c>
      <c r="K132" s="697" t="s">
        <v>166</v>
      </c>
      <c r="L132" s="698"/>
      <c r="M132" s="426" t="s">
        <v>167</v>
      </c>
      <c r="N132" s="426" t="s">
        <v>168</v>
      </c>
      <c r="O132" s="425" t="s">
        <v>169</v>
      </c>
      <c r="P132" s="426" t="s">
        <v>164</v>
      </c>
      <c r="Q132" s="426" t="s">
        <v>165</v>
      </c>
    </row>
    <row r="133" spans="1:17" ht="15.75" thickBot="1">
      <c r="A133" s="699">
        <v>1</v>
      </c>
      <c r="B133" s="700"/>
      <c r="C133" s="700"/>
      <c r="D133" s="701"/>
      <c r="E133" s="427">
        <v>2</v>
      </c>
      <c r="F133" s="391">
        <v>3</v>
      </c>
      <c r="G133" s="664">
        <v>4</v>
      </c>
      <c r="H133" s="679"/>
      <c r="I133" s="428">
        <v>5</v>
      </c>
      <c r="J133" s="405">
        <v>6</v>
      </c>
      <c r="K133" s="694">
        <v>7</v>
      </c>
      <c r="L133" s="679"/>
      <c r="M133" s="428">
        <v>8</v>
      </c>
      <c r="N133" s="428">
        <v>9</v>
      </c>
      <c r="O133" s="424">
        <v>10</v>
      </c>
      <c r="P133" s="428">
        <v>11</v>
      </c>
      <c r="Q133" s="422">
        <v>12</v>
      </c>
    </row>
    <row r="134" spans="1:17" ht="15.75" thickBot="1">
      <c r="A134" s="699" t="s">
        <v>170</v>
      </c>
      <c r="B134" s="700"/>
      <c r="C134" s="700"/>
      <c r="D134" s="701"/>
      <c r="E134" s="429" t="s">
        <v>171</v>
      </c>
      <c r="F134" s="391" t="s">
        <v>206</v>
      </c>
      <c r="G134" s="664"/>
      <c r="H134" s="679"/>
      <c r="I134" s="428"/>
      <c r="J134" s="405"/>
      <c r="K134" s="694"/>
      <c r="L134" s="679"/>
      <c r="M134" s="428"/>
      <c r="N134" s="428"/>
      <c r="O134" s="424"/>
      <c r="P134" s="428"/>
      <c r="Q134" s="422"/>
    </row>
    <row r="135" spans="1:17" ht="15.75" thickBot="1">
      <c r="A135" s="699" t="s">
        <v>172</v>
      </c>
      <c r="B135" s="700"/>
      <c r="C135" s="700"/>
      <c r="D135" s="701"/>
      <c r="E135" s="429" t="s">
        <v>173</v>
      </c>
      <c r="F135" s="391" t="s">
        <v>206</v>
      </c>
      <c r="G135" s="664"/>
      <c r="H135" s="679"/>
      <c r="I135" s="428"/>
      <c r="J135" s="405"/>
      <c r="K135" s="694"/>
      <c r="L135" s="679"/>
      <c r="M135" s="428"/>
      <c r="N135" s="428"/>
      <c r="O135" s="424"/>
      <c r="P135" s="428"/>
      <c r="Q135" s="422"/>
    </row>
    <row r="136" spans="1:17" ht="15.75" thickBot="1">
      <c r="A136" s="699"/>
      <c r="B136" s="700"/>
      <c r="C136" s="700"/>
      <c r="D136" s="701"/>
      <c r="E136" s="429"/>
      <c r="F136" s="391"/>
      <c r="G136" s="664"/>
      <c r="H136" s="679"/>
      <c r="I136" s="428"/>
      <c r="J136" s="405"/>
      <c r="K136" s="694"/>
      <c r="L136" s="679"/>
      <c r="M136" s="428"/>
      <c r="N136" s="428"/>
      <c r="O136" s="424"/>
      <c r="P136" s="428"/>
      <c r="Q136" s="422"/>
    </row>
    <row r="137" spans="1:17" ht="15.75" thickBot="1">
      <c r="A137" s="699" t="s">
        <v>174</v>
      </c>
      <c r="B137" s="700"/>
      <c r="C137" s="700"/>
      <c r="D137" s="701"/>
      <c r="E137" s="429" t="s">
        <v>175</v>
      </c>
      <c r="F137" s="391"/>
      <c r="G137" s="664"/>
      <c r="H137" s="679"/>
      <c r="I137" s="428"/>
      <c r="J137" s="405"/>
      <c r="K137" s="694"/>
      <c r="L137" s="679"/>
      <c r="M137" s="428"/>
      <c r="N137" s="428"/>
      <c r="O137" s="424"/>
      <c r="P137" s="428"/>
      <c r="Q137" s="422"/>
    </row>
    <row r="138" spans="1:17" ht="15.75" thickBot="1">
      <c r="A138" s="699"/>
      <c r="B138" s="700"/>
      <c r="C138" s="700"/>
      <c r="D138" s="701"/>
      <c r="E138" s="429"/>
      <c r="F138" s="391"/>
      <c r="G138" s="664"/>
      <c r="H138" s="679"/>
      <c r="I138" s="428"/>
      <c r="J138" s="405"/>
      <c r="K138" s="694"/>
      <c r="L138" s="679"/>
      <c r="M138" s="428"/>
      <c r="N138" s="428"/>
      <c r="O138" s="424"/>
      <c r="P138" s="428"/>
      <c r="Q138" s="422"/>
    </row>
    <row r="139" spans="1:15" ht="18.75">
      <c r="A139" s="416"/>
      <c r="B139" s="416"/>
      <c r="C139" s="416"/>
      <c r="D139" s="416"/>
      <c r="E139" s="417"/>
      <c r="F139" s="418"/>
      <c r="G139" s="418"/>
      <c r="H139" s="419"/>
      <c r="I139" s="420"/>
      <c r="J139" s="419"/>
      <c r="K139" s="420"/>
      <c r="L139" s="419"/>
      <c r="M139" s="420"/>
      <c r="N139" s="420"/>
      <c r="O139" s="420"/>
    </row>
    <row r="140" spans="1:15" ht="18.75">
      <c r="A140" s="416"/>
      <c r="B140" s="416"/>
      <c r="C140" s="416"/>
      <c r="D140" s="416"/>
      <c r="E140" s="417"/>
      <c r="F140" s="418"/>
      <c r="G140" s="418"/>
      <c r="H140" s="419"/>
      <c r="I140" s="420"/>
      <c r="J140" s="419"/>
      <c r="K140" s="420"/>
      <c r="L140" s="419"/>
      <c r="M140" s="420"/>
      <c r="N140" s="420"/>
      <c r="O140" s="420"/>
    </row>
    <row r="141" spans="1:15" ht="18.75">
      <c r="A141" s="416"/>
      <c r="B141" s="416"/>
      <c r="C141" s="416"/>
      <c r="D141" s="416"/>
      <c r="E141" s="417"/>
      <c r="F141" s="418"/>
      <c r="G141" s="418"/>
      <c r="H141" s="419"/>
      <c r="I141" s="420"/>
      <c r="J141" s="419"/>
      <c r="K141" s="420"/>
      <c r="L141" s="419"/>
      <c r="M141" s="420"/>
      <c r="N141" s="420"/>
      <c r="O141" s="420"/>
    </row>
    <row r="142" spans="1:15" ht="18.75">
      <c r="A142" s="416"/>
      <c r="B142" s="716" t="s">
        <v>176</v>
      </c>
      <c r="C142" s="717"/>
      <c r="D142" s="717"/>
      <c r="E142" s="717"/>
      <c r="F142" s="717"/>
      <c r="G142" s="717"/>
      <c r="H142" s="717"/>
      <c r="I142" s="717"/>
      <c r="J142" s="717"/>
      <c r="K142" s="717"/>
      <c r="L142" s="717"/>
      <c r="M142" s="420"/>
      <c r="N142" s="420"/>
      <c r="O142" s="420"/>
    </row>
    <row r="143" spans="1:15" ht="18.75">
      <c r="A143" s="416"/>
      <c r="B143" s="714" t="s">
        <v>633</v>
      </c>
      <c r="C143" s="715"/>
      <c r="D143" s="715"/>
      <c r="E143" s="715"/>
      <c r="F143" s="715"/>
      <c r="G143" s="715"/>
      <c r="H143" s="715"/>
      <c r="I143" s="715"/>
      <c r="J143" s="715"/>
      <c r="K143" s="715"/>
      <c r="L143" s="715"/>
      <c r="M143" s="420"/>
      <c r="N143" s="420"/>
      <c r="O143" s="420"/>
    </row>
    <row r="144" spans="1:15" ht="19.5" thickBot="1">
      <c r="A144" s="416"/>
      <c r="B144" s="714" t="s">
        <v>177</v>
      </c>
      <c r="C144" s="715"/>
      <c r="D144" s="715"/>
      <c r="E144" s="715"/>
      <c r="F144" s="715"/>
      <c r="G144" s="715"/>
      <c r="H144" s="715"/>
      <c r="I144" s="715"/>
      <c r="J144" s="715"/>
      <c r="K144" s="715"/>
      <c r="L144" s="715"/>
      <c r="M144" s="420"/>
      <c r="N144" s="420"/>
      <c r="O144" s="420"/>
    </row>
    <row r="145" spans="1:15" ht="30.75" thickBot="1">
      <c r="A145" s="664" t="s">
        <v>258</v>
      </c>
      <c r="B145" s="665"/>
      <c r="C145" s="665"/>
      <c r="D145" s="666"/>
      <c r="E145" s="392" t="s">
        <v>123</v>
      </c>
      <c r="F145" s="665" t="s">
        <v>178</v>
      </c>
      <c r="G145" s="718"/>
      <c r="H145" s="718"/>
      <c r="I145" s="663"/>
      <c r="J145" s="419"/>
      <c r="K145" s="420"/>
      <c r="L145" s="419"/>
      <c r="M145" s="420"/>
      <c r="N145" s="420"/>
      <c r="O145" s="420"/>
    </row>
    <row r="146" spans="1:15" ht="15.75" thickBot="1">
      <c r="A146" s="636">
        <v>1</v>
      </c>
      <c r="B146" s="637"/>
      <c r="C146" s="637"/>
      <c r="D146" s="637"/>
      <c r="E146" s="393">
        <v>2</v>
      </c>
      <c r="F146" s="665">
        <v>3</v>
      </c>
      <c r="G146" s="678"/>
      <c r="H146" s="678"/>
      <c r="I146" s="679"/>
      <c r="J146" s="419"/>
      <c r="K146" s="420"/>
      <c r="L146" s="419"/>
      <c r="M146" s="420"/>
      <c r="N146" s="420"/>
      <c r="O146" s="420"/>
    </row>
    <row r="147" spans="1:15" ht="15.75" thickBot="1">
      <c r="A147" s="559" t="s">
        <v>179</v>
      </c>
      <c r="B147" s="560"/>
      <c r="C147" s="560"/>
      <c r="D147" s="560"/>
      <c r="E147" s="430" t="s">
        <v>180</v>
      </c>
      <c r="F147" s="665" t="s">
        <v>620</v>
      </c>
      <c r="G147" s="678"/>
      <c r="H147" s="678"/>
      <c r="I147" s="679"/>
      <c r="J147" s="419"/>
      <c r="K147" s="420"/>
      <c r="L147" s="419"/>
      <c r="M147" s="420"/>
      <c r="N147" s="420"/>
      <c r="O147" s="420"/>
    </row>
    <row r="148" spans="1:15" ht="15.75" thickBot="1">
      <c r="A148" s="559" t="s">
        <v>181</v>
      </c>
      <c r="B148" s="560"/>
      <c r="C148" s="560"/>
      <c r="D148" s="560"/>
      <c r="E148" s="430" t="s">
        <v>182</v>
      </c>
      <c r="F148" s="665"/>
      <c r="G148" s="678"/>
      <c r="H148" s="678"/>
      <c r="I148" s="679"/>
      <c r="J148" s="419"/>
      <c r="K148" s="420"/>
      <c r="L148" s="419"/>
      <c r="M148" s="420"/>
      <c r="N148" s="420"/>
      <c r="O148" s="420"/>
    </row>
    <row r="149" spans="1:15" ht="15.75" thickBot="1">
      <c r="A149" s="559" t="s">
        <v>183</v>
      </c>
      <c r="B149" s="560"/>
      <c r="C149" s="560"/>
      <c r="D149" s="560"/>
      <c r="E149" s="430" t="s">
        <v>184</v>
      </c>
      <c r="F149" s="665"/>
      <c r="G149" s="678"/>
      <c r="H149" s="678"/>
      <c r="I149" s="679"/>
      <c r="J149" s="419"/>
      <c r="K149" s="420"/>
      <c r="L149" s="419"/>
      <c r="M149" s="420"/>
      <c r="N149" s="420"/>
      <c r="O149" s="420"/>
    </row>
    <row r="150" spans="1:15" ht="15.75" thickBot="1">
      <c r="A150" s="559"/>
      <c r="B150" s="560"/>
      <c r="C150" s="560"/>
      <c r="D150" s="560"/>
      <c r="E150" s="430"/>
      <c r="F150" s="665"/>
      <c r="G150" s="678"/>
      <c r="H150" s="678"/>
      <c r="I150" s="679"/>
      <c r="J150" s="419"/>
      <c r="K150" s="420"/>
      <c r="L150" s="419"/>
      <c r="M150" s="420"/>
      <c r="N150" s="420"/>
      <c r="O150" s="420"/>
    </row>
    <row r="151" spans="1:15" ht="15.75" thickBot="1">
      <c r="A151" s="559" t="s">
        <v>185</v>
      </c>
      <c r="B151" s="560"/>
      <c r="C151" s="560"/>
      <c r="D151" s="560"/>
      <c r="E151" s="430" t="s">
        <v>186</v>
      </c>
      <c r="F151" s="665"/>
      <c r="G151" s="678"/>
      <c r="H151" s="678"/>
      <c r="I151" s="679"/>
      <c r="J151" s="419"/>
      <c r="K151" s="420"/>
      <c r="L151" s="419"/>
      <c r="M151" s="420"/>
      <c r="N151" s="420"/>
      <c r="O151" s="420"/>
    </row>
    <row r="152" spans="1:15" ht="15">
      <c r="A152" s="382"/>
      <c r="B152" s="382"/>
      <c r="C152" s="382"/>
      <c r="D152" s="382"/>
      <c r="E152" s="431"/>
      <c r="F152" s="418"/>
      <c r="G152" s="423"/>
      <c r="H152" s="423"/>
      <c r="I152" s="423"/>
      <c r="J152" s="419"/>
      <c r="K152" s="420"/>
      <c r="L152" s="419"/>
      <c r="M152" s="420"/>
      <c r="N152" s="420"/>
      <c r="O152" s="420"/>
    </row>
    <row r="153" spans="1:15" ht="23.25" customHeight="1" thickBot="1">
      <c r="A153" s="631" t="s">
        <v>57</v>
      </c>
      <c r="B153" s="696"/>
      <c r="C153" s="696"/>
      <c r="D153" s="696"/>
      <c r="E153" s="696"/>
      <c r="F153" s="696"/>
      <c r="G153" s="696"/>
      <c r="H153" s="696"/>
      <c r="I153" s="696"/>
      <c r="J153" s="696"/>
      <c r="K153" s="420"/>
      <c r="L153" s="419"/>
      <c r="M153" s="420"/>
      <c r="N153" s="420"/>
      <c r="O153" s="420"/>
    </row>
    <row r="154" spans="1:15" ht="36.75" customHeight="1" thickBot="1">
      <c r="A154" s="664" t="s">
        <v>258</v>
      </c>
      <c r="B154" s="665"/>
      <c r="C154" s="665"/>
      <c r="D154" s="666"/>
      <c r="E154" s="392" t="s">
        <v>123</v>
      </c>
      <c r="F154" s="665" t="s">
        <v>58</v>
      </c>
      <c r="G154" s="718"/>
      <c r="H154" s="718"/>
      <c r="I154" s="663"/>
      <c r="J154" s="419"/>
      <c r="K154" s="420"/>
      <c r="L154" s="419"/>
      <c r="M154" s="420"/>
      <c r="N154" s="420"/>
      <c r="O154" s="420"/>
    </row>
    <row r="155" spans="1:15" ht="33" customHeight="1" thickBot="1">
      <c r="A155" s="636">
        <v>1</v>
      </c>
      <c r="B155" s="637"/>
      <c r="C155" s="637"/>
      <c r="D155" s="637"/>
      <c r="E155" s="393">
        <v>2</v>
      </c>
      <c r="F155" s="665">
        <v>3</v>
      </c>
      <c r="G155" s="678"/>
      <c r="H155" s="678"/>
      <c r="I155" s="679"/>
      <c r="J155" s="419"/>
      <c r="K155" s="420"/>
      <c r="L155" s="419"/>
      <c r="M155" s="420"/>
      <c r="N155" s="420"/>
      <c r="O155" s="420"/>
    </row>
    <row r="156" spans="1:15" ht="23.25" customHeight="1" thickBot="1">
      <c r="A156" s="559" t="s">
        <v>59</v>
      </c>
      <c r="B156" s="560"/>
      <c r="C156" s="560"/>
      <c r="D156" s="560"/>
      <c r="E156" s="430" t="s">
        <v>180</v>
      </c>
      <c r="F156" s="665"/>
      <c r="G156" s="678"/>
      <c r="H156" s="678"/>
      <c r="I156" s="679"/>
      <c r="J156" s="419"/>
      <c r="K156" s="420"/>
      <c r="L156" s="419"/>
      <c r="M156" s="420"/>
      <c r="N156" s="420"/>
      <c r="O156" s="420"/>
    </row>
    <row r="157" spans="1:15" ht="75.75" customHeight="1" thickBot="1">
      <c r="A157" s="559" t="s">
        <v>60</v>
      </c>
      <c r="B157" s="560"/>
      <c r="C157" s="560"/>
      <c r="D157" s="560"/>
      <c r="E157" s="430" t="s">
        <v>182</v>
      </c>
      <c r="F157" s="665"/>
      <c r="G157" s="678"/>
      <c r="H157" s="678"/>
      <c r="I157" s="679"/>
      <c r="J157" s="419"/>
      <c r="K157" s="420"/>
      <c r="L157" s="419"/>
      <c r="M157" s="420"/>
      <c r="N157" s="420"/>
      <c r="O157" s="420"/>
    </row>
    <row r="158" spans="1:15" ht="50.25" customHeight="1" thickBot="1">
      <c r="A158" s="559" t="s">
        <v>61</v>
      </c>
      <c r="B158" s="560"/>
      <c r="C158" s="560"/>
      <c r="D158" s="560"/>
      <c r="E158" s="430" t="s">
        <v>184</v>
      </c>
      <c r="F158" s="665"/>
      <c r="G158" s="678"/>
      <c r="H158" s="678"/>
      <c r="I158" s="679"/>
      <c r="J158" s="419"/>
      <c r="K158" s="420"/>
      <c r="L158" s="419"/>
      <c r="M158" s="420"/>
      <c r="N158" s="420"/>
      <c r="O158" s="420"/>
    </row>
    <row r="159" spans="1:12" ht="15">
      <c r="A159" s="507"/>
      <c r="B159" s="507"/>
      <c r="C159" s="507"/>
      <c r="D159" s="507"/>
      <c r="E159" s="508"/>
      <c r="F159" s="507"/>
      <c r="G159" s="507"/>
      <c r="H159" s="507"/>
      <c r="I159" s="507"/>
      <c r="J159" s="507"/>
      <c r="K159" s="507"/>
      <c r="L159" s="507"/>
    </row>
    <row r="160" spans="1:10" ht="15">
      <c r="A160" s="546"/>
      <c r="B160" s="546"/>
      <c r="C160" s="546"/>
      <c r="D160" s="546"/>
      <c r="E160" s="546"/>
      <c r="F160" s="546"/>
      <c r="G160" s="572"/>
      <c r="H160" s="572"/>
      <c r="I160" s="572"/>
      <c r="J160" s="572"/>
    </row>
    <row r="161" spans="1:10" ht="15">
      <c r="A161" s="376"/>
      <c r="B161" s="376"/>
      <c r="C161" s="544"/>
      <c r="D161" s="544"/>
      <c r="E161" s="376"/>
      <c r="F161" s="544"/>
      <c r="G161" s="544"/>
      <c r="H161" s="377"/>
      <c r="I161" s="547"/>
      <c r="J161" s="547"/>
    </row>
    <row r="162" spans="1:10" ht="60" customHeight="1">
      <c r="A162" s="546" t="s">
        <v>62</v>
      </c>
      <c r="B162" s="546"/>
      <c r="C162" s="546"/>
      <c r="D162" s="721"/>
      <c r="E162" s="721"/>
      <c r="F162" s="721"/>
      <c r="G162" s="721"/>
      <c r="H162" s="721"/>
      <c r="I162" s="572"/>
      <c r="J162" s="572"/>
    </row>
    <row r="163" spans="1:10" ht="26.25" customHeight="1">
      <c r="A163" s="375"/>
      <c r="B163" s="375"/>
      <c r="C163" s="547" t="s">
        <v>70</v>
      </c>
      <c r="D163" s="719"/>
      <c r="E163" s="719"/>
      <c r="F163" s="719"/>
      <c r="G163" s="719"/>
      <c r="H163" s="719"/>
      <c r="I163" s="720" t="s">
        <v>71</v>
      </c>
      <c r="J163" s="720"/>
    </row>
  </sheetData>
  <sheetProtection/>
  <mergeCells count="427">
    <mergeCell ref="C163:H163"/>
    <mergeCell ref="I163:J163"/>
    <mergeCell ref="A160:F160"/>
    <mergeCell ref="G160:J160"/>
    <mergeCell ref="C161:D161"/>
    <mergeCell ref="F161:G161"/>
    <mergeCell ref="I161:J161"/>
    <mergeCell ref="A162:C162"/>
    <mergeCell ref="D162:H162"/>
    <mergeCell ref="I162:J162"/>
    <mergeCell ref="A158:D158"/>
    <mergeCell ref="F158:I158"/>
    <mergeCell ref="A151:D151"/>
    <mergeCell ref="A157:D157"/>
    <mergeCell ref="F157:I157"/>
    <mergeCell ref="F151:I151"/>
    <mergeCell ref="A155:D155"/>
    <mergeCell ref="F155:I155"/>
    <mergeCell ref="A156:D156"/>
    <mergeCell ref="F156:I156"/>
    <mergeCell ref="A149:D149"/>
    <mergeCell ref="F149:I149"/>
    <mergeCell ref="A150:D150"/>
    <mergeCell ref="F150:I150"/>
    <mergeCell ref="A153:J153"/>
    <mergeCell ref="A154:D154"/>
    <mergeCell ref="F154:I154"/>
    <mergeCell ref="A145:D145"/>
    <mergeCell ref="F145:I145"/>
    <mergeCell ref="A146:D146"/>
    <mergeCell ref="F146:I146"/>
    <mergeCell ref="A147:D147"/>
    <mergeCell ref="F147:I147"/>
    <mergeCell ref="A148:D148"/>
    <mergeCell ref="F148:I148"/>
    <mergeCell ref="B144:L144"/>
    <mergeCell ref="A136:D136"/>
    <mergeCell ref="G136:H136"/>
    <mergeCell ref="K136:L136"/>
    <mergeCell ref="A137:D137"/>
    <mergeCell ref="G137:H137"/>
    <mergeCell ref="K137:L137"/>
    <mergeCell ref="B142:L142"/>
    <mergeCell ref="B143:L143"/>
    <mergeCell ref="A135:D135"/>
    <mergeCell ref="G135:H135"/>
    <mergeCell ref="K135:L135"/>
    <mergeCell ref="K133:L133"/>
    <mergeCell ref="A134:D134"/>
    <mergeCell ref="G134:H134"/>
    <mergeCell ref="K134:L134"/>
    <mergeCell ref="G132:H132"/>
    <mergeCell ref="K132:L132"/>
    <mergeCell ref="A138:D138"/>
    <mergeCell ref="G138:H138"/>
    <mergeCell ref="K138:L138"/>
    <mergeCell ref="A128:D132"/>
    <mergeCell ref="E128:E132"/>
    <mergeCell ref="F128:F132"/>
    <mergeCell ref="A133:D133"/>
    <mergeCell ref="G133:H133"/>
    <mergeCell ref="A124:D124"/>
    <mergeCell ref="F124:G124"/>
    <mergeCell ref="J124:K124"/>
    <mergeCell ref="R124:S124"/>
    <mergeCell ref="A125:Y125"/>
    <mergeCell ref="K130:N131"/>
    <mergeCell ref="O130:Q131"/>
    <mergeCell ref="K129:Q129"/>
    <mergeCell ref="A126:O126"/>
    <mergeCell ref="A127:O127"/>
    <mergeCell ref="G128:Q128"/>
    <mergeCell ref="G129:J131"/>
    <mergeCell ref="Z124:AA124"/>
    <mergeCell ref="F122:G122"/>
    <mergeCell ref="J122:K122"/>
    <mergeCell ref="R122:S122"/>
    <mergeCell ref="Z122:AA122"/>
    <mergeCell ref="Z123:AA123"/>
    <mergeCell ref="A123:D123"/>
    <mergeCell ref="F123:G123"/>
    <mergeCell ref="J123:K123"/>
    <mergeCell ref="R123:S123"/>
    <mergeCell ref="A122:D122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Z118:AA118"/>
    <mergeCell ref="A119:D119"/>
    <mergeCell ref="F119:G119"/>
    <mergeCell ref="J119:K119"/>
    <mergeCell ref="R119:S119"/>
    <mergeCell ref="Z119:AA119"/>
    <mergeCell ref="A118:D118"/>
    <mergeCell ref="F118:G118"/>
    <mergeCell ref="J118:K118"/>
    <mergeCell ref="R118:S118"/>
    <mergeCell ref="Z116:AA116"/>
    <mergeCell ref="A117:D117"/>
    <mergeCell ref="F117:G117"/>
    <mergeCell ref="J117:K117"/>
    <mergeCell ref="R117:S117"/>
    <mergeCell ref="Z117:AA117"/>
    <mergeCell ref="A116:D116"/>
    <mergeCell ref="F116:G116"/>
    <mergeCell ref="J116:K116"/>
    <mergeCell ref="R116:S116"/>
    <mergeCell ref="Z114:AA114"/>
    <mergeCell ref="A115:D115"/>
    <mergeCell ref="F115:G115"/>
    <mergeCell ref="J115:K115"/>
    <mergeCell ref="R115:S115"/>
    <mergeCell ref="Z115:AA115"/>
    <mergeCell ref="A114:D114"/>
    <mergeCell ref="F114:G114"/>
    <mergeCell ref="J114:K114"/>
    <mergeCell ref="R114:S114"/>
    <mergeCell ref="Z112:AA112"/>
    <mergeCell ref="A113:D113"/>
    <mergeCell ref="F113:G113"/>
    <mergeCell ref="J113:K113"/>
    <mergeCell ref="R113:S113"/>
    <mergeCell ref="Z113:AA113"/>
    <mergeCell ref="A112:D112"/>
    <mergeCell ref="F112:G112"/>
    <mergeCell ref="J112:K112"/>
    <mergeCell ref="R112:S112"/>
    <mergeCell ref="Z110:AA110"/>
    <mergeCell ref="A111:D111"/>
    <mergeCell ref="F111:G111"/>
    <mergeCell ref="J111:K111"/>
    <mergeCell ref="R111:S111"/>
    <mergeCell ref="Z111:AA111"/>
    <mergeCell ref="A110:D110"/>
    <mergeCell ref="F110:G110"/>
    <mergeCell ref="J110:K110"/>
    <mergeCell ref="R110:S110"/>
    <mergeCell ref="Z108:AA108"/>
    <mergeCell ref="A109:D109"/>
    <mergeCell ref="F109:G109"/>
    <mergeCell ref="J109:K109"/>
    <mergeCell ref="R109:S109"/>
    <mergeCell ref="Z109:AA109"/>
    <mergeCell ref="A108:D108"/>
    <mergeCell ref="F108:G108"/>
    <mergeCell ref="J108:K108"/>
    <mergeCell ref="R108:S108"/>
    <mergeCell ref="Z106:AA106"/>
    <mergeCell ref="A107:D107"/>
    <mergeCell ref="F107:G107"/>
    <mergeCell ref="J107:K107"/>
    <mergeCell ref="R107:S107"/>
    <mergeCell ref="Z107:AA107"/>
    <mergeCell ref="A106:D106"/>
    <mergeCell ref="F106:G106"/>
    <mergeCell ref="J106:K106"/>
    <mergeCell ref="R106:S106"/>
    <mergeCell ref="Z104:AA104"/>
    <mergeCell ref="A105:D105"/>
    <mergeCell ref="F105:G105"/>
    <mergeCell ref="J105:K105"/>
    <mergeCell ref="R105:S105"/>
    <mergeCell ref="Z105:AA105"/>
    <mergeCell ref="A104:D104"/>
    <mergeCell ref="F104:G104"/>
    <mergeCell ref="J104:K104"/>
    <mergeCell ref="R104:S104"/>
    <mergeCell ref="Z102:AA102"/>
    <mergeCell ref="A103:D103"/>
    <mergeCell ref="F103:G103"/>
    <mergeCell ref="J103:K103"/>
    <mergeCell ref="R103:S103"/>
    <mergeCell ref="Z103:AA103"/>
    <mergeCell ref="A102:D102"/>
    <mergeCell ref="F102:G102"/>
    <mergeCell ref="J102:K102"/>
    <mergeCell ref="R102:S102"/>
    <mergeCell ref="Z100:AA100"/>
    <mergeCell ref="A101:D101"/>
    <mergeCell ref="F101:G101"/>
    <mergeCell ref="J101:K101"/>
    <mergeCell ref="R101:S101"/>
    <mergeCell ref="Z101:AA101"/>
    <mergeCell ref="A100:D100"/>
    <mergeCell ref="F100:G100"/>
    <mergeCell ref="J100:K100"/>
    <mergeCell ref="R100:S100"/>
    <mergeCell ref="Z98:AA98"/>
    <mergeCell ref="A99:D99"/>
    <mergeCell ref="F99:G99"/>
    <mergeCell ref="J99:K99"/>
    <mergeCell ref="R99:S99"/>
    <mergeCell ref="Z99:AA99"/>
    <mergeCell ref="A98:D98"/>
    <mergeCell ref="F98:G98"/>
    <mergeCell ref="J98:K98"/>
    <mergeCell ref="R98:S98"/>
    <mergeCell ref="Z96:AA96"/>
    <mergeCell ref="A97:D97"/>
    <mergeCell ref="F97:G97"/>
    <mergeCell ref="J97:K97"/>
    <mergeCell ref="R97:S97"/>
    <mergeCell ref="Z97:AA97"/>
    <mergeCell ref="A96:D96"/>
    <mergeCell ref="F96:G96"/>
    <mergeCell ref="J96:K96"/>
    <mergeCell ref="R96:S96"/>
    <mergeCell ref="Z95:AA95"/>
    <mergeCell ref="A94:D94"/>
    <mergeCell ref="F94:G94"/>
    <mergeCell ref="J94:K94"/>
    <mergeCell ref="R94:S94"/>
    <mergeCell ref="A95:D95"/>
    <mergeCell ref="F95:G95"/>
    <mergeCell ref="J95:K95"/>
    <mergeCell ref="R95:S95"/>
    <mergeCell ref="Z94:AA94"/>
    <mergeCell ref="Z93:AA93"/>
    <mergeCell ref="V91:W91"/>
    <mergeCell ref="A93:D93"/>
    <mergeCell ref="F93:G93"/>
    <mergeCell ref="J93:K93"/>
    <mergeCell ref="R93:S93"/>
    <mergeCell ref="I91:I92"/>
    <mergeCell ref="J91:K92"/>
    <mergeCell ref="A89:D92"/>
    <mergeCell ref="A87:L87"/>
    <mergeCell ref="A86:L86"/>
    <mergeCell ref="Y91:Y92"/>
    <mergeCell ref="U91:U92"/>
    <mergeCell ref="P89:W89"/>
    <mergeCell ref="F89:G92"/>
    <mergeCell ref="H89:O89"/>
    <mergeCell ref="L91:L92"/>
    <mergeCell ref="M91:M92"/>
    <mergeCell ref="R91:S92"/>
    <mergeCell ref="J79:L79"/>
    <mergeCell ref="A80:F80"/>
    <mergeCell ref="G80:I80"/>
    <mergeCell ref="J80:L80"/>
    <mergeCell ref="T91:T92"/>
    <mergeCell ref="N91:O91"/>
    <mergeCell ref="A88:L88"/>
    <mergeCell ref="P90:P92"/>
    <mergeCell ref="Q90:W90"/>
    <mergeCell ref="E89:E92"/>
    <mergeCell ref="G77:I77"/>
    <mergeCell ref="J77:L77"/>
    <mergeCell ref="G76:I76"/>
    <mergeCell ref="A81:F82"/>
    <mergeCell ref="G81:I82"/>
    <mergeCell ref="J81:L82"/>
    <mergeCell ref="A78:F78"/>
    <mergeCell ref="G78:I78"/>
    <mergeCell ref="A79:F79"/>
    <mergeCell ref="G79:I79"/>
    <mergeCell ref="A85:L85"/>
    <mergeCell ref="A83:F83"/>
    <mergeCell ref="G83:I83"/>
    <mergeCell ref="J83:L83"/>
    <mergeCell ref="A84:F84"/>
    <mergeCell ref="G84:I84"/>
    <mergeCell ref="J84:L84"/>
    <mergeCell ref="Z91:AA92"/>
    <mergeCell ref="X89:AE89"/>
    <mergeCell ref="H90:H92"/>
    <mergeCell ref="I90:O90"/>
    <mergeCell ref="Y90:AE90"/>
    <mergeCell ref="AD91:AE91"/>
    <mergeCell ref="AC91:AC92"/>
    <mergeCell ref="AB91:AB92"/>
    <mergeCell ref="X90:X92"/>
    <mergeCell ref="Q91:Q92"/>
    <mergeCell ref="J78:L78"/>
    <mergeCell ref="J73:L73"/>
    <mergeCell ref="A74:F74"/>
    <mergeCell ref="G74:I74"/>
    <mergeCell ref="A75:F75"/>
    <mergeCell ref="A73:F73"/>
    <mergeCell ref="G73:I73"/>
    <mergeCell ref="G75:I75"/>
    <mergeCell ref="J75:L75"/>
    <mergeCell ref="A76:F76"/>
    <mergeCell ref="A67:F67"/>
    <mergeCell ref="G67:I67"/>
    <mergeCell ref="J67:L67"/>
    <mergeCell ref="A71:F71"/>
    <mergeCell ref="G71:I71"/>
    <mergeCell ref="J71:L71"/>
    <mergeCell ref="J68:L69"/>
    <mergeCell ref="A72:F72"/>
    <mergeCell ref="A70:F70"/>
    <mergeCell ref="G70:I70"/>
    <mergeCell ref="J70:L70"/>
    <mergeCell ref="G72:I72"/>
    <mergeCell ref="J72:L72"/>
    <mergeCell ref="A64:L64"/>
    <mergeCell ref="A65:L65"/>
    <mergeCell ref="J76:L76"/>
    <mergeCell ref="A77:F77"/>
    <mergeCell ref="A66:F66"/>
    <mergeCell ref="G66:I66"/>
    <mergeCell ref="J66:L66"/>
    <mergeCell ref="J74:L74"/>
    <mergeCell ref="A68:F69"/>
    <mergeCell ref="G68:I69"/>
    <mergeCell ref="A60:D60"/>
    <mergeCell ref="F60:G60"/>
    <mergeCell ref="I60:L60"/>
    <mergeCell ref="A63:L63"/>
    <mergeCell ref="A61:D61"/>
    <mergeCell ref="F61:G61"/>
    <mergeCell ref="I61:L61"/>
    <mergeCell ref="A62:L62"/>
    <mergeCell ref="A58:D58"/>
    <mergeCell ref="F58:G58"/>
    <mergeCell ref="I58:L58"/>
    <mergeCell ref="A59:D59"/>
    <mergeCell ref="F59:G59"/>
    <mergeCell ref="I59:L59"/>
    <mergeCell ref="A57:D57"/>
    <mergeCell ref="F57:G57"/>
    <mergeCell ref="I57:L57"/>
    <mergeCell ref="A53:D53"/>
    <mergeCell ref="F53:G53"/>
    <mergeCell ref="I53:L53"/>
    <mergeCell ref="A54:D54"/>
    <mergeCell ref="F54:G54"/>
    <mergeCell ref="I54:L54"/>
    <mergeCell ref="F55:G55"/>
    <mergeCell ref="A55:D55"/>
    <mergeCell ref="I52:L52"/>
    <mergeCell ref="A56:D56"/>
    <mergeCell ref="F56:G56"/>
    <mergeCell ref="I56:L56"/>
    <mergeCell ref="I55:L55"/>
    <mergeCell ref="A51:D52"/>
    <mergeCell ref="F51:G52"/>
    <mergeCell ref="H51:H52"/>
    <mergeCell ref="I51:L51"/>
    <mergeCell ref="A37:H38"/>
    <mergeCell ref="I37:L38"/>
    <mergeCell ref="A41:H42"/>
    <mergeCell ref="I41:L42"/>
    <mergeCell ref="A47:H47"/>
    <mergeCell ref="I47:L48"/>
    <mergeCell ref="A48:H48"/>
    <mergeCell ref="A49:L50"/>
    <mergeCell ref="A45:H46"/>
    <mergeCell ref="I45:L46"/>
    <mergeCell ref="A39:H40"/>
    <mergeCell ref="I39:L40"/>
    <mergeCell ref="A43:H43"/>
    <mergeCell ref="I43:L43"/>
    <mergeCell ref="A44:H44"/>
    <mergeCell ref="I44:L44"/>
    <mergeCell ref="I29:L30"/>
    <mergeCell ref="A30:H30"/>
    <mergeCell ref="A33:L33"/>
    <mergeCell ref="A34:L34"/>
    <mergeCell ref="A35:L35"/>
    <mergeCell ref="A36:L36"/>
    <mergeCell ref="A32:H32"/>
    <mergeCell ref="I32:L32"/>
    <mergeCell ref="A31:H31"/>
    <mergeCell ref="I31:L31"/>
    <mergeCell ref="A23:H23"/>
    <mergeCell ref="I23:K23"/>
    <mergeCell ref="A24:C24"/>
    <mergeCell ref="D24:L24"/>
    <mergeCell ref="A26:L26"/>
    <mergeCell ref="A27:L27"/>
    <mergeCell ref="A28:L28"/>
    <mergeCell ref="A29:H29"/>
    <mergeCell ref="A22:H22"/>
    <mergeCell ref="I22:K22"/>
    <mergeCell ref="L15:L16"/>
    <mergeCell ref="A17:C21"/>
    <mergeCell ref="D17:H21"/>
    <mergeCell ref="I17:K18"/>
    <mergeCell ref="L17:L18"/>
    <mergeCell ref="I19:K19"/>
    <mergeCell ref="I20:K20"/>
    <mergeCell ref="I21:K21"/>
    <mergeCell ref="C6:D6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I13:K13"/>
    <mergeCell ref="C4:D4"/>
    <mergeCell ref="C13:D13"/>
    <mergeCell ref="F13:G13"/>
    <mergeCell ref="A12:L12"/>
    <mergeCell ref="A7:A10"/>
    <mergeCell ref="B7:B10"/>
    <mergeCell ref="C7:D10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F4:G4"/>
    <mergeCell ref="H4:L4"/>
    <mergeCell ref="C1:D1"/>
    <mergeCell ref="F1:G1"/>
    <mergeCell ref="H1:L1"/>
    <mergeCell ref="C2:D2"/>
    <mergeCell ref="F2:G2"/>
    <mergeCell ref="H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F24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6.28125" style="1" customWidth="1"/>
    <col min="2" max="2" width="49.421875" style="1" customWidth="1"/>
    <col min="3" max="3" width="19.57421875" style="1" customWidth="1"/>
    <col min="4" max="4" width="18.8515625" style="1" customWidth="1"/>
    <col min="5" max="16384" width="9.140625" style="1" customWidth="1"/>
  </cols>
  <sheetData>
    <row r="2" spans="1:6" ht="15" customHeight="1">
      <c r="A2" s="723" t="s">
        <v>288</v>
      </c>
      <c r="B2" s="723"/>
      <c r="C2" s="723"/>
      <c r="D2" s="723"/>
      <c r="E2" s="10"/>
      <c r="F2" s="10"/>
    </row>
    <row r="3" spans="1:4" ht="15" customHeight="1">
      <c r="A3" s="11"/>
      <c r="B3" s="11"/>
      <c r="C3" s="11"/>
      <c r="D3" s="11"/>
    </row>
    <row r="4" spans="1:6" ht="15" customHeight="1">
      <c r="A4" s="723" t="s">
        <v>210</v>
      </c>
      <c r="B4" s="723"/>
      <c r="C4" s="723"/>
      <c r="D4" s="723"/>
      <c r="E4" s="10"/>
      <c r="F4" s="10"/>
    </row>
    <row r="6" spans="1:6" ht="15" customHeight="1">
      <c r="A6" s="730" t="s">
        <v>370</v>
      </c>
      <c r="B6" s="730"/>
      <c r="C6" s="730"/>
      <c r="D6" s="730"/>
      <c r="E6" s="723"/>
      <c r="F6" s="723"/>
    </row>
    <row r="8" spans="1:6" ht="15" customHeight="1">
      <c r="A8" s="723" t="s">
        <v>347</v>
      </c>
      <c r="B8" s="723"/>
      <c r="C8" s="723"/>
      <c r="D8" s="723"/>
      <c r="E8" s="10"/>
      <c r="F8" s="10"/>
    </row>
    <row r="10" spans="1:4" ht="56.25" customHeight="1">
      <c r="A10" s="2" t="s">
        <v>193</v>
      </c>
      <c r="B10" s="2" t="s">
        <v>213</v>
      </c>
      <c r="C10" s="2" t="s">
        <v>341</v>
      </c>
      <c r="D10" s="2" t="s">
        <v>342</v>
      </c>
    </row>
    <row r="11" spans="1:4" ht="15">
      <c r="A11" s="2">
        <v>1</v>
      </c>
      <c r="B11" s="2">
        <v>2</v>
      </c>
      <c r="C11" s="2">
        <v>3</v>
      </c>
      <c r="D11" s="2">
        <v>4</v>
      </c>
    </row>
    <row r="12" spans="1:4" ht="30">
      <c r="A12" s="2"/>
      <c r="B12" s="15" t="s">
        <v>343</v>
      </c>
      <c r="C12" s="2" t="s">
        <v>206</v>
      </c>
      <c r="D12" s="17"/>
    </row>
    <row r="13" spans="1:4" ht="15">
      <c r="A13" s="2"/>
      <c r="B13" s="15" t="s">
        <v>313</v>
      </c>
      <c r="C13" s="2"/>
      <c r="D13" s="17"/>
    </row>
    <row r="14" spans="1:4" ht="15">
      <c r="A14" s="2"/>
      <c r="B14" s="15"/>
      <c r="C14" s="2"/>
      <c r="D14" s="17"/>
    </row>
    <row r="15" spans="1:4" ht="30">
      <c r="A15" s="2"/>
      <c r="B15" s="15" t="s">
        <v>344</v>
      </c>
      <c r="C15" s="2" t="s">
        <v>206</v>
      </c>
      <c r="D15" s="17"/>
    </row>
    <row r="16" spans="1:4" ht="15">
      <c r="A16" s="2"/>
      <c r="B16" s="15" t="s">
        <v>313</v>
      </c>
      <c r="C16" s="2"/>
      <c r="D16" s="17"/>
    </row>
    <row r="17" spans="1:4" ht="15">
      <c r="A17" s="2"/>
      <c r="B17" s="15"/>
      <c r="C17" s="2"/>
      <c r="D17" s="17"/>
    </row>
    <row r="18" spans="1:4" ht="30">
      <c r="A18" s="2"/>
      <c r="B18" s="15" t="s">
        <v>345</v>
      </c>
      <c r="C18" s="2" t="s">
        <v>206</v>
      </c>
      <c r="D18" s="17"/>
    </row>
    <row r="19" spans="1:4" ht="45">
      <c r="A19" s="2"/>
      <c r="B19" s="15" t="s">
        <v>346</v>
      </c>
      <c r="C19" s="2"/>
      <c r="D19" s="17"/>
    </row>
    <row r="20" spans="1:4" ht="15">
      <c r="A20" s="2"/>
      <c r="B20" s="15"/>
      <c r="C20" s="2"/>
      <c r="D20" s="17"/>
    </row>
    <row r="21" spans="1:4" ht="15">
      <c r="A21" s="2"/>
      <c r="B21" s="15" t="s">
        <v>638</v>
      </c>
      <c r="C21" s="2"/>
      <c r="D21" s="17">
        <f>'[1]Штат-бюджет'!$G$156*1000</f>
        <v>120000</v>
      </c>
    </row>
    <row r="22" spans="1:4" ht="15">
      <c r="A22" s="13"/>
      <c r="B22" s="12" t="s">
        <v>205</v>
      </c>
      <c r="C22" s="3" t="s">
        <v>206</v>
      </c>
      <c r="D22" s="16"/>
    </row>
    <row r="24" spans="1:4" ht="18" customHeight="1">
      <c r="A24" s="729"/>
      <c r="B24" s="729"/>
      <c r="C24" s="729"/>
      <c r="D24" s="4"/>
    </row>
  </sheetData>
  <sheetProtection/>
  <mergeCells count="6">
    <mergeCell ref="A24:C24"/>
    <mergeCell ref="E6:F6"/>
    <mergeCell ref="A2:D2"/>
    <mergeCell ref="A4:D4"/>
    <mergeCell ref="A6:D6"/>
    <mergeCell ref="A8:D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6.28125" style="1" customWidth="1"/>
    <col min="2" max="2" width="44.28125" style="1" customWidth="1"/>
    <col min="3" max="3" width="15.140625" style="1" customWidth="1"/>
    <col min="4" max="4" width="17.00390625" style="1" customWidth="1"/>
    <col min="5" max="5" width="16.8515625" style="1" customWidth="1"/>
    <col min="6" max="16384" width="9.140625" style="1" customWidth="1"/>
  </cols>
  <sheetData>
    <row r="2" spans="1:7" ht="15" customHeight="1">
      <c r="A2" s="723" t="s">
        <v>288</v>
      </c>
      <c r="B2" s="723"/>
      <c r="C2" s="723"/>
      <c r="D2" s="723"/>
      <c r="E2" s="723"/>
      <c r="F2" s="10"/>
      <c r="G2" s="10"/>
    </row>
    <row r="3" spans="1:5" ht="15" customHeight="1">
      <c r="A3" s="11"/>
      <c r="B3" s="11"/>
      <c r="C3" s="11"/>
      <c r="D3" s="11"/>
      <c r="E3" s="11"/>
    </row>
    <row r="4" spans="1:7" ht="15" customHeight="1">
      <c r="A4" s="723" t="s">
        <v>210</v>
      </c>
      <c r="B4" s="723"/>
      <c r="C4" s="723"/>
      <c r="D4" s="723"/>
      <c r="E4" s="723"/>
      <c r="F4" s="10"/>
      <c r="G4" s="10"/>
    </row>
    <row r="6" spans="1:7" ht="15" customHeight="1">
      <c r="A6" s="723" t="s">
        <v>320</v>
      </c>
      <c r="B6" s="723"/>
      <c r="C6" s="723"/>
      <c r="D6" s="723"/>
      <c r="E6" s="723"/>
      <c r="F6" s="723"/>
      <c r="G6" s="723"/>
    </row>
    <row r="8" spans="1:7" ht="15" customHeight="1">
      <c r="A8" s="723" t="s">
        <v>348</v>
      </c>
      <c r="B8" s="723"/>
      <c r="C8" s="723"/>
      <c r="D8" s="723"/>
      <c r="E8" s="723"/>
      <c r="F8" s="10"/>
      <c r="G8" s="10"/>
    </row>
    <row r="10" spans="1:5" ht="42.75" customHeight="1">
      <c r="A10" s="2" t="s">
        <v>193</v>
      </c>
      <c r="B10" s="2" t="s">
        <v>213</v>
      </c>
      <c r="C10" s="2" t="s">
        <v>318</v>
      </c>
      <c r="D10" s="2" t="s">
        <v>349</v>
      </c>
      <c r="E10" s="2" t="s">
        <v>350</v>
      </c>
    </row>
    <row r="11" spans="1:5" ht="1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15">
      <c r="A12" s="2"/>
      <c r="B12" s="15" t="s">
        <v>351</v>
      </c>
      <c r="C12" s="2" t="s">
        <v>206</v>
      </c>
      <c r="D12" s="2" t="s">
        <v>206</v>
      </c>
      <c r="E12" s="2" t="s">
        <v>206</v>
      </c>
    </row>
    <row r="13" spans="1:5" ht="15">
      <c r="A13" s="2"/>
      <c r="B13" s="15" t="s">
        <v>352</v>
      </c>
      <c r="C13" s="2"/>
      <c r="D13" s="2"/>
      <c r="E13" s="2"/>
    </row>
    <row r="14" spans="1:5" ht="15">
      <c r="A14" s="2"/>
      <c r="B14" s="15"/>
      <c r="C14" s="2"/>
      <c r="D14" s="2"/>
      <c r="E14" s="2"/>
    </row>
    <row r="15" spans="1:5" ht="15">
      <c r="A15" s="2"/>
      <c r="B15" s="15"/>
      <c r="C15" s="2"/>
      <c r="D15" s="2"/>
      <c r="E15" s="2"/>
    </row>
    <row r="16" spans="1:5" ht="15">
      <c r="A16" s="2"/>
      <c r="B16" s="15"/>
      <c r="C16" s="2"/>
      <c r="D16" s="2"/>
      <c r="E16" s="2"/>
    </row>
    <row r="17" spans="1:5" ht="15">
      <c r="A17" s="2"/>
      <c r="B17" s="15"/>
      <c r="C17" s="2"/>
      <c r="D17" s="2"/>
      <c r="E17" s="2"/>
    </row>
    <row r="18" spans="1:5" ht="15">
      <c r="A18" s="2"/>
      <c r="B18" s="15"/>
      <c r="C18" s="2"/>
      <c r="D18" s="2"/>
      <c r="E18" s="2"/>
    </row>
    <row r="19" spans="1:5" ht="15">
      <c r="A19" s="2"/>
      <c r="B19" s="15"/>
      <c r="C19" s="2"/>
      <c r="D19" s="2"/>
      <c r="E19" s="2"/>
    </row>
    <row r="20" spans="1:5" ht="15">
      <c r="A20" s="2"/>
      <c r="B20" s="15"/>
      <c r="C20" s="2"/>
      <c r="D20" s="2"/>
      <c r="E20" s="2"/>
    </row>
    <row r="21" spans="1:5" ht="15">
      <c r="A21" s="2"/>
      <c r="B21" s="15"/>
      <c r="C21" s="2"/>
      <c r="D21" s="2"/>
      <c r="E21" s="2"/>
    </row>
    <row r="22" spans="1:5" ht="15">
      <c r="A22" s="13"/>
      <c r="B22" s="12" t="s">
        <v>205</v>
      </c>
      <c r="C22" s="3"/>
      <c r="D22" s="3" t="s">
        <v>206</v>
      </c>
      <c r="E22" s="3"/>
    </row>
    <row r="24" spans="1:5" ht="18" customHeight="1">
      <c r="A24" s="729"/>
      <c r="B24" s="729"/>
      <c r="C24" s="729"/>
      <c r="D24" s="4"/>
      <c r="E24" s="4"/>
    </row>
  </sheetData>
  <sheetProtection/>
  <mergeCells count="6">
    <mergeCell ref="F6:G6"/>
    <mergeCell ref="A8:E8"/>
    <mergeCell ref="A24:C24"/>
    <mergeCell ref="A2:E2"/>
    <mergeCell ref="A4:E4"/>
    <mergeCell ref="A6:E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6.28125" style="1" customWidth="1"/>
    <col min="2" max="2" width="37.140625" style="1" customWidth="1"/>
    <col min="3" max="3" width="12.8515625" style="1" customWidth="1"/>
    <col min="4" max="4" width="12.140625" style="1" customWidth="1"/>
    <col min="5" max="5" width="17.00390625" style="1" customWidth="1"/>
    <col min="6" max="6" width="14.28125" style="1" customWidth="1"/>
    <col min="7" max="16384" width="9.140625" style="1" customWidth="1"/>
  </cols>
  <sheetData>
    <row r="2" spans="1:8" ht="15" customHeight="1">
      <c r="A2" s="723" t="s">
        <v>288</v>
      </c>
      <c r="B2" s="723"/>
      <c r="C2" s="723"/>
      <c r="D2" s="723"/>
      <c r="E2" s="723"/>
      <c r="F2" s="723"/>
      <c r="G2" s="10"/>
      <c r="H2" s="10"/>
    </row>
    <row r="3" spans="1:6" ht="15" customHeight="1">
      <c r="A3" s="11"/>
      <c r="B3" s="11"/>
      <c r="C3" s="11"/>
      <c r="D3" s="11"/>
      <c r="E3" s="11"/>
      <c r="F3" s="11"/>
    </row>
    <row r="4" spans="1:8" ht="15" customHeight="1">
      <c r="A4" s="723" t="s">
        <v>210</v>
      </c>
      <c r="B4" s="723"/>
      <c r="C4" s="723"/>
      <c r="D4" s="723"/>
      <c r="E4" s="723"/>
      <c r="F4" s="723"/>
      <c r="G4" s="10"/>
      <c r="H4" s="10"/>
    </row>
    <row r="6" spans="1:8" ht="15" customHeight="1">
      <c r="A6" s="723" t="s">
        <v>320</v>
      </c>
      <c r="B6" s="723"/>
      <c r="C6" s="723"/>
      <c r="D6" s="723"/>
      <c r="E6" s="723"/>
      <c r="F6" s="723"/>
      <c r="G6" s="723"/>
      <c r="H6" s="723"/>
    </row>
    <row r="8" spans="1:8" ht="15" customHeight="1">
      <c r="A8" s="723" t="s">
        <v>353</v>
      </c>
      <c r="B8" s="723"/>
      <c r="C8" s="723"/>
      <c r="D8" s="723"/>
      <c r="E8" s="723"/>
      <c r="F8" s="723"/>
      <c r="G8" s="10"/>
      <c r="H8" s="10"/>
    </row>
    <row r="10" spans="1:6" ht="42.75" customHeight="1">
      <c r="A10" s="2" t="s">
        <v>193</v>
      </c>
      <c r="B10" s="2" t="s">
        <v>213</v>
      </c>
      <c r="C10" s="3" t="s">
        <v>354</v>
      </c>
      <c r="D10" s="2" t="s">
        <v>318</v>
      </c>
      <c r="E10" s="2" t="s">
        <v>355</v>
      </c>
      <c r="F10" s="2" t="s">
        <v>356</v>
      </c>
    </row>
    <row r="11" spans="1:6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6" ht="15">
      <c r="A12" s="2"/>
      <c r="B12" s="15" t="s">
        <v>357</v>
      </c>
      <c r="C12" s="2" t="s">
        <v>206</v>
      </c>
      <c r="D12" s="2" t="s">
        <v>206</v>
      </c>
      <c r="E12" s="2" t="s">
        <v>206</v>
      </c>
      <c r="F12" s="2" t="s">
        <v>206</v>
      </c>
    </row>
    <row r="13" spans="1:6" ht="15">
      <c r="A13" s="2"/>
      <c r="B13" s="15" t="s">
        <v>358</v>
      </c>
      <c r="C13" s="2"/>
      <c r="D13" s="2"/>
      <c r="E13" s="2"/>
      <c r="F13" s="2"/>
    </row>
    <row r="14" spans="1:6" ht="15">
      <c r="A14" s="2"/>
      <c r="B14" s="15" t="s">
        <v>628</v>
      </c>
      <c r="C14" s="2"/>
      <c r="D14" s="2"/>
      <c r="E14" s="2"/>
      <c r="F14" s="536">
        <v>200000</v>
      </c>
    </row>
    <row r="15" spans="1:6" ht="15">
      <c r="A15" s="2"/>
      <c r="B15" s="15" t="s">
        <v>630</v>
      </c>
      <c r="C15" s="2"/>
      <c r="D15" s="2"/>
      <c r="E15" s="2"/>
      <c r="F15" s="536">
        <v>280000</v>
      </c>
    </row>
    <row r="16" spans="1:6" ht="15">
      <c r="A16" s="2"/>
      <c r="B16" s="15"/>
      <c r="C16" s="2"/>
      <c r="D16" s="2"/>
      <c r="E16" s="2"/>
      <c r="F16" s="2"/>
    </row>
    <row r="17" spans="1:6" ht="15">
      <c r="A17" s="2"/>
      <c r="B17" s="15"/>
      <c r="C17" s="2"/>
      <c r="D17" s="2"/>
      <c r="E17" s="2"/>
      <c r="F17" s="2"/>
    </row>
    <row r="18" spans="1:6" ht="15">
      <c r="A18" s="13"/>
      <c r="B18" s="12" t="s">
        <v>205</v>
      </c>
      <c r="C18" s="3" t="s">
        <v>206</v>
      </c>
      <c r="D18" s="3" t="s">
        <v>206</v>
      </c>
      <c r="E18" s="3" t="s">
        <v>206</v>
      </c>
      <c r="F18" s="3"/>
    </row>
    <row r="20" spans="1:6" ht="18" customHeight="1">
      <c r="A20" s="729"/>
      <c r="B20" s="729"/>
      <c r="C20" s="729"/>
      <c r="D20" s="4"/>
      <c r="E20" s="4"/>
      <c r="F20" s="4"/>
    </row>
  </sheetData>
  <sheetProtection/>
  <mergeCells count="6">
    <mergeCell ref="G6:H6"/>
    <mergeCell ref="A8:F8"/>
    <mergeCell ref="A20:C20"/>
    <mergeCell ref="A2:F2"/>
    <mergeCell ref="A4:F4"/>
    <mergeCell ref="A6:F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F14" sqref="F14:F18"/>
    </sheetView>
  </sheetViews>
  <sheetFormatPr defaultColWidth="9.140625" defaultRowHeight="15"/>
  <cols>
    <col min="1" max="1" width="6.28125" style="1" customWidth="1"/>
    <col min="2" max="2" width="37.140625" style="1" customWidth="1"/>
    <col min="3" max="3" width="12.8515625" style="1" customWidth="1"/>
    <col min="4" max="4" width="12.140625" style="1" customWidth="1"/>
    <col min="5" max="5" width="17.00390625" style="1" customWidth="1"/>
    <col min="6" max="6" width="14.28125" style="1" customWidth="1"/>
    <col min="7" max="16384" width="9.140625" style="1" customWidth="1"/>
  </cols>
  <sheetData>
    <row r="2" spans="1:8" ht="15" customHeight="1">
      <c r="A2" s="723" t="s">
        <v>288</v>
      </c>
      <c r="B2" s="723"/>
      <c r="C2" s="723"/>
      <c r="D2" s="723"/>
      <c r="E2" s="723"/>
      <c r="F2" s="723"/>
      <c r="G2" s="10"/>
      <c r="H2" s="10"/>
    </row>
    <row r="3" spans="1:6" ht="15" customHeight="1">
      <c r="A3" s="11"/>
      <c r="B3" s="11"/>
      <c r="C3" s="11"/>
      <c r="D3" s="11"/>
      <c r="E3" s="11"/>
      <c r="F3" s="11"/>
    </row>
    <row r="4" spans="1:8" ht="15" customHeight="1">
      <c r="A4" s="723" t="s">
        <v>210</v>
      </c>
      <c r="B4" s="723"/>
      <c r="C4" s="723"/>
      <c r="D4" s="723"/>
      <c r="E4" s="723"/>
      <c r="F4" s="723"/>
      <c r="G4" s="10"/>
      <c r="H4" s="10"/>
    </row>
    <row r="6" spans="1:8" ht="15" customHeight="1">
      <c r="A6" s="723" t="s">
        <v>320</v>
      </c>
      <c r="B6" s="723"/>
      <c r="C6" s="723"/>
      <c r="D6" s="723"/>
      <c r="E6" s="723"/>
      <c r="F6" s="723"/>
      <c r="G6" s="723"/>
      <c r="H6" s="723"/>
    </row>
    <row r="8" spans="1:8" ht="15" customHeight="1">
      <c r="A8" s="723" t="s">
        <v>353</v>
      </c>
      <c r="B8" s="723"/>
      <c r="C8" s="723"/>
      <c r="D8" s="723"/>
      <c r="E8" s="723"/>
      <c r="F8" s="723"/>
      <c r="G8" s="10"/>
      <c r="H8" s="10"/>
    </row>
    <row r="10" spans="1:6" ht="42.75" customHeight="1">
      <c r="A10" s="2" t="s">
        <v>193</v>
      </c>
      <c r="B10" s="2" t="s">
        <v>213</v>
      </c>
      <c r="C10" s="3" t="s">
        <v>354</v>
      </c>
      <c r="D10" s="2" t="s">
        <v>318</v>
      </c>
      <c r="E10" s="2" t="s">
        <v>355</v>
      </c>
      <c r="F10" s="2" t="s">
        <v>356</v>
      </c>
    </row>
    <row r="11" spans="1:6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6" ht="15">
      <c r="A12" s="2"/>
      <c r="B12" s="15" t="s">
        <v>357</v>
      </c>
      <c r="C12" s="2" t="s">
        <v>206</v>
      </c>
      <c r="D12" s="2" t="s">
        <v>206</v>
      </c>
      <c r="E12" s="2" t="s">
        <v>206</v>
      </c>
      <c r="F12" s="2" t="s">
        <v>206</v>
      </c>
    </row>
    <row r="13" spans="1:6" ht="15">
      <c r="A13" s="2"/>
      <c r="B13" s="15" t="s">
        <v>358</v>
      </c>
      <c r="C13" s="2"/>
      <c r="D13" s="2"/>
      <c r="E13" s="2"/>
      <c r="F13" s="2"/>
    </row>
    <row r="14" spans="1:6" ht="15">
      <c r="A14" s="2"/>
      <c r="B14" s="15" t="s">
        <v>628</v>
      </c>
      <c r="C14" s="535" t="s">
        <v>620</v>
      </c>
      <c r="D14" s="535" t="s">
        <v>620</v>
      </c>
      <c r="E14" s="535" t="s">
        <v>620</v>
      </c>
      <c r="F14" s="536">
        <v>200000</v>
      </c>
    </row>
    <row r="15" spans="1:6" ht="15">
      <c r="A15" s="2"/>
      <c r="B15" s="15" t="s">
        <v>629</v>
      </c>
      <c r="C15" s="535" t="s">
        <v>620</v>
      </c>
      <c r="D15" s="2"/>
      <c r="E15" s="2"/>
      <c r="F15" s="536">
        <v>180000</v>
      </c>
    </row>
    <row r="16" spans="1:6" ht="15">
      <c r="A16" s="2"/>
      <c r="B16" s="15" t="s">
        <v>634</v>
      </c>
      <c r="C16" s="2"/>
      <c r="D16" s="2"/>
      <c r="E16" s="2"/>
      <c r="F16" s="536">
        <v>50000</v>
      </c>
    </row>
    <row r="17" spans="1:6" ht="15">
      <c r="A17" s="2"/>
      <c r="B17" s="15" t="s">
        <v>635</v>
      </c>
      <c r="C17" s="2"/>
      <c r="D17" s="2"/>
      <c r="E17" s="2"/>
      <c r="F17" s="2">
        <v>50000</v>
      </c>
    </row>
    <row r="18" spans="1:6" ht="15">
      <c r="A18" s="13"/>
      <c r="B18" s="12" t="s">
        <v>205</v>
      </c>
      <c r="C18" s="3" t="s">
        <v>206</v>
      </c>
      <c r="D18" s="3" t="s">
        <v>206</v>
      </c>
      <c r="E18" s="3" t="s">
        <v>206</v>
      </c>
      <c r="F18" s="537">
        <f>SUM(F14:F17)</f>
        <v>480000</v>
      </c>
    </row>
    <row r="20" spans="1:6" ht="18" customHeight="1">
      <c r="A20" s="729"/>
      <c r="B20" s="729"/>
      <c r="C20" s="729"/>
      <c r="D20" s="4"/>
      <c r="E20" s="4"/>
      <c r="F20" s="4"/>
    </row>
  </sheetData>
  <sheetProtection/>
  <mergeCells count="6">
    <mergeCell ref="G6:H6"/>
    <mergeCell ref="A8:F8"/>
    <mergeCell ref="A20:C20"/>
    <mergeCell ref="A2:F2"/>
    <mergeCell ref="A4:F4"/>
    <mergeCell ref="A6:F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105"/>
  <sheetViews>
    <sheetView tabSelected="1" zoomScale="70" zoomScaleNormal="70" zoomScalePageLayoutView="0" workbookViewId="0" topLeftCell="F2">
      <selection activeCell="M8" sqref="M8"/>
    </sheetView>
  </sheetViews>
  <sheetFormatPr defaultColWidth="9.140625" defaultRowHeight="15"/>
  <cols>
    <col min="1" max="1" width="4.57421875" style="40" customWidth="1"/>
    <col min="2" max="2" width="15.7109375" style="40" customWidth="1"/>
    <col min="3" max="3" width="33.140625" style="40" customWidth="1"/>
    <col min="4" max="4" width="23.7109375" style="40" customWidth="1"/>
    <col min="5" max="5" width="18.28125" style="40" customWidth="1"/>
    <col min="6" max="6" width="17.00390625" style="40" customWidth="1"/>
    <col min="7" max="7" width="14.8515625" style="40" customWidth="1"/>
    <col min="8" max="8" width="14.421875" style="40" customWidth="1"/>
    <col min="9" max="9" width="16.8515625" style="40" customWidth="1"/>
    <col min="10" max="10" width="16.28125" style="40" customWidth="1"/>
    <col min="11" max="11" width="17.421875" style="40" customWidth="1"/>
    <col min="12" max="12" width="11.28125" style="40" customWidth="1"/>
    <col min="13" max="13" width="16.140625" style="40" customWidth="1"/>
    <col min="14" max="14" width="16.8515625" style="40" customWidth="1"/>
    <col min="15" max="15" width="15.8515625" style="40" customWidth="1"/>
    <col min="16" max="16" width="13.8515625" style="40" customWidth="1"/>
    <col min="17" max="17" width="11.57421875" style="40" customWidth="1"/>
    <col min="18" max="18" width="13.8515625" style="40" customWidth="1"/>
    <col min="19" max="19" width="13.57421875" style="40" customWidth="1"/>
    <col min="20" max="20" width="11.7109375" style="40" customWidth="1"/>
    <col min="21" max="21" width="13.421875" style="40" customWidth="1"/>
    <col min="22" max="22" width="12.00390625" style="40" customWidth="1"/>
    <col min="23" max="23" width="10.421875" style="40" customWidth="1"/>
    <col min="24" max="24" width="12.8515625" style="40" customWidth="1"/>
    <col min="25" max="25" width="33.140625" style="40" customWidth="1"/>
    <col min="26" max="26" width="17.8515625" style="40" customWidth="1"/>
    <col min="27" max="27" width="12.00390625" style="40" bestFit="1" customWidth="1"/>
    <col min="28" max="28" width="10.7109375" style="40" customWidth="1"/>
    <col min="29" max="29" width="15.57421875" style="40" bestFit="1" customWidth="1"/>
    <col min="30" max="30" width="12.00390625" style="40" customWidth="1"/>
    <col min="31" max="31" width="16.00390625" style="40" customWidth="1"/>
    <col min="32" max="32" width="12.57421875" style="40" customWidth="1"/>
    <col min="33" max="33" width="13.28125" style="40" customWidth="1"/>
    <col min="34" max="34" width="12.140625" style="40" customWidth="1"/>
    <col min="35" max="36" width="11.28125" style="40" bestFit="1" customWidth="1"/>
    <col min="37" max="37" width="13.28125" style="40" bestFit="1" customWidth="1"/>
    <col min="38" max="38" width="13.57421875" style="40" customWidth="1"/>
    <col min="39" max="39" width="13.28125" style="40" bestFit="1" customWidth="1"/>
    <col min="40" max="40" width="11.8515625" style="40" customWidth="1"/>
    <col min="41" max="41" width="16.8515625" style="40" bestFit="1" customWidth="1"/>
    <col min="42" max="42" width="12.421875" style="40" bestFit="1" customWidth="1"/>
    <col min="43" max="43" width="15.421875" style="40" bestFit="1" customWidth="1"/>
    <col min="44" max="44" width="15.57421875" style="41" customWidth="1"/>
    <col min="45" max="45" width="13.8515625" style="42" customWidth="1"/>
    <col min="46" max="46" width="11.57421875" style="41" customWidth="1"/>
    <col min="47" max="47" width="9.140625" style="40" customWidth="1"/>
    <col min="48" max="48" width="14.8515625" style="40" customWidth="1"/>
    <col min="49" max="51" width="9.140625" style="40" customWidth="1"/>
    <col min="52" max="52" width="12.00390625" style="40" customWidth="1"/>
    <col min="53" max="53" width="9.140625" style="40" customWidth="1"/>
    <col min="54" max="54" width="12.57421875" style="40" customWidth="1"/>
    <col min="55" max="16384" width="9.140625" style="40" customWidth="1"/>
  </cols>
  <sheetData>
    <row r="1" ht="12.75" customHeight="1" hidden="1"/>
    <row r="2" spans="2:35" ht="34.5" customHeight="1">
      <c r="B2" s="43"/>
      <c r="C2" s="43"/>
      <c r="D2" s="43"/>
      <c r="E2" s="44" t="s">
        <v>375</v>
      </c>
      <c r="F2" s="43"/>
      <c r="G2" s="43"/>
      <c r="H2" s="44" t="s">
        <v>376</v>
      </c>
      <c r="I2" s="42" t="s">
        <v>377</v>
      </c>
      <c r="J2" s="44" t="s">
        <v>378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7" t="s">
        <v>379</v>
      </c>
      <c r="W2" s="44"/>
      <c r="X2" s="44"/>
      <c r="Y2" s="44"/>
      <c r="Z2" s="44"/>
      <c r="AA2" s="44"/>
      <c r="AB2" s="44"/>
      <c r="AC2" s="48"/>
      <c r="AD2" s="48"/>
      <c r="AE2" s="45"/>
      <c r="AF2" s="48"/>
      <c r="AG2" s="48"/>
      <c r="AH2" s="48"/>
      <c r="AI2" s="48"/>
    </row>
    <row r="3" spans="2:35" ht="65.25" customHeight="1">
      <c r="B3" s="45"/>
      <c r="C3" s="45"/>
      <c r="D3" s="45"/>
      <c r="E3" s="767" t="s">
        <v>380</v>
      </c>
      <c r="F3" s="768"/>
      <c r="G3" s="49"/>
      <c r="H3" s="50">
        <f>H4+H7</f>
        <v>0</v>
      </c>
      <c r="I3" s="50">
        <f>I4+I7</f>
        <v>0</v>
      </c>
      <c r="J3" s="50">
        <f>J4+J7</f>
        <v>0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7"/>
      <c r="V3" s="47" t="s">
        <v>381</v>
      </c>
      <c r="W3" s="44"/>
      <c r="X3" s="44"/>
      <c r="Y3" s="44"/>
      <c r="Z3" s="44"/>
      <c r="AA3" s="44"/>
      <c r="AB3" s="44"/>
      <c r="AC3" s="48"/>
      <c r="AD3" s="48"/>
      <c r="AE3" s="45"/>
      <c r="AF3" s="48"/>
      <c r="AG3" s="48"/>
      <c r="AH3" s="48"/>
      <c r="AI3" s="48"/>
    </row>
    <row r="4" spans="2:35" ht="12.75" customHeight="1">
      <c r="B4" s="45"/>
      <c r="C4" s="45"/>
      <c r="D4" s="45"/>
      <c r="E4" s="51" t="s">
        <v>382</v>
      </c>
      <c r="F4" s="51"/>
      <c r="G4" s="49"/>
      <c r="H4" s="50">
        <f>H5+H6</f>
        <v>0</v>
      </c>
      <c r="I4" s="50">
        <f>I5+I6</f>
        <v>0</v>
      </c>
      <c r="J4" s="50">
        <f>J5+J6</f>
        <v>0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7"/>
      <c r="V4" s="47"/>
      <c r="W4" s="44"/>
      <c r="X4" s="44"/>
      <c r="Y4" s="44"/>
      <c r="Z4" s="44"/>
      <c r="AA4" s="44"/>
      <c r="AB4" s="44"/>
      <c r="AC4" s="48"/>
      <c r="AD4" s="48"/>
      <c r="AE4" s="45"/>
      <c r="AF4" s="48"/>
      <c r="AG4" s="48"/>
      <c r="AH4" s="48"/>
      <c r="AI4" s="48"/>
    </row>
    <row r="5" spans="2:35" ht="12.75" customHeight="1">
      <c r="B5" s="45"/>
      <c r="C5" s="52"/>
      <c r="D5" s="53"/>
      <c r="E5" s="54" t="s">
        <v>383</v>
      </c>
      <c r="F5" s="49"/>
      <c r="G5" s="49"/>
      <c r="H5" s="55"/>
      <c r="I5" s="56"/>
      <c r="J5" s="55"/>
      <c r="K5" s="45"/>
      <c r="L5" s="45"/>
      <c r="M5" s="45"/>
      <c r="N5" s="45"/>
      <c r="O5" s="45"/>
      <c r="P5" s="45"/>
      <c r="Q5" s="45"/>
      <c r="R5" s="45"/>
      <c r="S5" s="45"/>
      <c r="T5" s="45"/>
      <c r="U5" s="47"/>
      <c r="V5" s="57" t="s">
        <v>384</v>
      </c>
      <c r="W5" s="44"/>
      <c r="X5" s="44"/>
      <c r="Y5" s="44"/>
      <c r="Z5" s="44"/>
      <c r="AA5" s="44"/>
      <c r="AB5" s="44"/>
      <c r="AC5" s="48"/>
      <c r="AD5" s="48"/>
      <c r="AE5" s="45"/>
      <c r="AF5" s="48"/>
      <c r="AG5" s="48"/>
      <c r="AH5" s="48"/>
      <c r="AI5" s="48"/>
    </row>
    <row r="6" spans="2:35" ht="12.75" customHeight="1">
      <c r="B6" s="45"/>
      <c r="C6" s="53"/>
      <c r="D6" s="53"/>
      <c r="E6" s="54" t="s">
        <v>385</v>
      </c>
      <c r="F6" s="49"/>
      <c r="G6" s="49"/>
      <c r="H6" s="55"/>
      <c r="I6" s="55"/>
      <c r="J6" s="55"/>
      <c r="K6" s="45"/>
      <c r="L6" s="45"/>
      <c r="M6" s="45"/>
      <c r="N6" s="45"/>
      <c r="O6" s="45"/>
      <c r="P6" s="45"/>
      <c r="Q6" s="45"/>
      <c r="R6" s="45"/>
      <c r="S6" s="45"/>
      <c r="T6" s="45"/>
      <c r="U6" s="47"/>
      <c r="V6" s="57" t="s">
        <v>386</v>
      </c>
      <c r="W6" s="44"/>
      <c r="X6" s="44"/>
      <c r="Y6" s="44"/>
      <c r="Z6" s="58"/>
      <c r="AA6" s="44"/>
      <c r="AB6" s="44"/>
      <c r="AC6" s="48"/>
      <c r="AD6" s="48"/>
      <c r="AE6" s="45"/>
      <c r="AF6" s="48"/>
      <c r="AG6" s="48"/>
      <c r="AH6" s="48"/>
      <c r="AI6" s="48"/>
    </row>
    <row r="7" spans="2:35" ht="13.5" customHeight="1">
      <c r="B7" s="45"/>
      <c r="C7" s="53"/>
      <c r="D7" s="53"/>
      <c r="E7" s="51" t="s">
        <v>387</v>
      </c>
      <c r="F7" s="49"/>
      <c r="G7" s="49"/>
      <c r="H7" s="55"/>
      <c r="I7" s="55"/>
      <c r="J7" s="55"/>
      <c r="K7" s="45"/>
      <c r="L7" s="59" t="s">
        <v>388</v>
      </c>
      <c r="M7" s="45"/>
      <c r="N7" s="45"/>
      <c r="O7" s="45"/>
      <c r="P7" s="45"/>
      <c r="Q7" s="45"/>
      <c r="R7" s="45"/>
      <c r="S7" s="45"/>
      <c r="T7" s="45"/>
      <c r="U7" s="47"/>
      <c r="V7" s="47" t="s">
        <v>389</v>
      </c>
      <c r="W7" s="44"/>
      <c r="X7" s="60">
        <v>29</v>
      </c>
      <c r="Y7" s="44" t="s">
        <v>390</v>
      </c>
      <c r="Z7" s="44"/>
      <c r="AA7" s="44"/>
      <c r="AB7" s="44"/>
      <c r="AC7" s="48"/>
      <c r="AD7" s="48"/>
      <c r="AE7" s="45"/>
      <c r="AF7" s="48"/>
      <c r="AG7" s="48"/>
      <c r="AH7" s="48"/>
      <c r="AI7" s="48"/>
    </row>
    <row r="8" spans="2:35" ht="13.5" customHeight="1">
      <c r="B8" s="45"/>
      <c r="C8" s="53"/>
      <c r="D8" s="53"/>
      <c r="E8" s="51" t="s">
        <v>391</v>
      </c>
      <c r="F8" s="49"/>
      <c r="G8" s="49"/>
      <c r="H8" s="55"/>
      <c r="I8" s="55"/>
      <c r="J8" s="55"/>
      <c r="K8" s="45"/>
      <c r="L8" s="59" t="s">
        <v>639</v>
      </c>
      <c r="M8" s="45"/>
      <c r="N8" s="45"/>
      <c r="O8" s="45"/>
      <c r="P8" s="45"/>
      <c r="Q8" s="45"/>
      <c r="R8" s="45"/>
      <c r="S8" s="45"/>
      <c r="T8" s="45"/>
      <c r="U8" s="47"/>
      <c r="V8" s="44"/>
      <c r="W8" s="44"/>
      <c r="X8" s="61"/>
      <c r="Y8" s="44"/>
      <c r="Z8" s="44"/>
      <c r="AA8" s="44"/>
      <c r="AB8" s="44"/>
      <c r="AC8" s="48"/>
      <c r="AD8" s="48"/>
      <c r="AE8" s="45"/>
      <c r="AF8" s="48"/>
      <c r="AG8" s="48"/>
      <c r="AH8" s="48"/>
      <c r="AI8" s="48"/>
    </row>
    <row r="9" spans="2:35" ht="7.5" customHeight="1">
      <c r="B9" s="45"/>
      <c r="C9" s="53"/>
      <c r="D9" s="53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7"/>
      <c r="V9" s="44"/>
      <c r="W9" s="44"/>
      <c r="X9" s="44"/>
      <c r="Y9" s="44"/>
      <c r="Z9" s="44"/>
      <c r="AA9" s="44"/>
      <c r="AB9" s="44"/>
      <c r="AC9" s="48"/>
      <c r="AD9" s="48"/>
      <c r="AE9" s="45"/>
      <c r="AF9" s="48"/>
      <c r="AG9" s="48"/>
      <c r="AH9" s="48"/>
      <c r="AI9" s="48"/>
    </row>
    <row r="10" spans="2:46" s="63" customFormat="1" ht="57.75" customHeight="1">
      <c r="B10" s="731" t="s">
        <v>392</v>
      </c>
      <c r="C10" s="734" t="s">
        <v>393</v>
      </c>
      <c r="D10" s="439"/>
      <c r="E10" s="737" t="s">
        <v>394</v>
      </c>
      <c r="F10" s="737" t="s">
        <v>395</v>
      </c>
      <c r="G10" s="737" t="s">
        <v>396</v>
      </c>
      <c r="H10" s="737" t="s">
        <v>397</v>
      </c>
      <c r="I10" s="737" t="s">
        <v>398</v>
      </c>
      <c r="J10" s="747" t="s">
        <v>399</v>
      </c>
      <c r="K10" s="731" t="s">
        <v>400</v>
      </c>
      <c r="L10" s="754" t="s">
        <v>401</v>
      </c>
      <c r="M10" s="769"/>
      <c r="N10" s="769"/>
      <c r="O10" s="770"/>
      <c r="P10" s="742" t="s">
        <v>402</v>
      </c>
      <c r="Q10" s="754" t="s">
        <v>403</v>
      </c>
      <c r="R10" s="755"/>
      <c r="S10" s="742" t="s">
        <v>404</v>
      </c>
      <c r="T10" s="760" t="s">
        <v>405</v>
      </c>
      <c r="U10" s="761"/>
      <c r="V10" s="761"/>
      <c r="W10" s="761"/>
      <c r="X10" s="761"/>
      <c r="Y10" s="761"/>
      <c r="Z10" s="761"/>
      <c r="AA10" s="761"/>
      <c r="AB10" s="761"/>
      <c r="AC10" s="761"/>
      <c r="AD10" s="761"/>
      <c r="AE10" s="762"/>
      <c r="AF10" s="777" t="s">
        <v>406</v>
      </c>
      <c r="AG10" s="777" t="s">
        <v>407</v>
      </c>
      <c r="AH10" s="62"/>
      <c r="AI10" s="62"/>
      <c r="AR10" s="64"/>
      <c r="AT10" s="64"/>
    </row>
    <row r="11" spans="2:46" s="63" customFormat="1" ht="19.5" customHeight="1">
      <c r="B11" s="732"/>
      <c r="C11" s="735"/>
      <c r="D11" s="440" t="s">
        <v>408</v>
      </c>
      <c r="E11" s="738"/>
      <c r="F11" s="738"/>
      <c r="G11" s="738"/>
      <c r="H11" s="738"/>
      <c r="I11" s="740"/>
      <c r="J11" s="748"/>
      <c r="K11" s="750"/>
      <c r="L11" s="771"/>
      <c r="M11" s="772"/>
      <c r="N11" s="772"/>
      <c r="O11" s="773"/>
      <c r="P11" s="743"/>
      <c r="Q11" s="756"/>
      <c r="R11" s="757"/>
      <c r="S11" s="743"/>
      <c r="T11" s="763"/>
      <c r="U11" s="764"/>
      <c r="V11" s="764"/>
      <c r="W11" s="764"/>
      <c r="X11" s="764"/>
      <c r="Y11" s="764"/>
      <c r="Z11" s="764"/>
      <c r="AA11" s="764"/>
      <c r="AB11" s="764"/>
      <c r="AC11" s="764"/>
      <c r="AD11" s="764"/>
      <c r="AE11" s="765"/>
      <c r="AF11" s="778"/>
      <c r="AG11" s="778"/>
      <c r="AH11" s="62"/>
      <c r="AI11" s="62"/>
      <c r="AR11" s="64"/>
      <c r="AT11" s="64"/>
    </row>
    <row r="12" spans="2:46" s="63" customFormat="1" ht="52.5" customHeight="1">
      <c r="B12" s="732"/>
      <c r="C12" s="735"/>
      <c r="D12" s="440"/>
      <c r="E12" s="738"/>
      <c r="F12" s="738"/>
      <c r="G12" s="738"/>
      <c r="H12" s="738"/>
      <c r="I12" s="740"/>
      <c r="J12" s="748"/>
      <c r="K12" s="750"/>
      <c r="L12" s="780" t="s">
        <v>409</v>
      </c>
      <c r="M12" s="746"/>
      <c r="N12" s="766" t="s">
        <v>410</v>
      </c>
      <c r="O12" s="746"/>
      <c r="P12" s="743"/>
      <c r="Q12" s="758"/>
      <c r="R12" s="759"/>
      <c r="S12" s="743"/>
      <c r="T12" s="766" t="s">
        <v>411</v>
      </c>
      <c r="U12" s="781"/>
      <c r="V12" s="776" t="s">
        <v>412</v>
      </c>
      <c r="W12" s="776" t="s">
        <v>413</v>
      </c>
      <c r="X12" s="766" t="s">
        <v>414</v>
      </c>
      <c r="Y12" s="746"/>
      <c r="Z12" s="745" t="s">
        <v>415</v>
      </c>
      <c r="AA12" s="746"/>
      <c r="AB12" s="745" t="s">
        <v>416</v>
      </c>
      <c r="AC12" s="746"/>
      <c r="AD12" s="774" t="s">
        <v>417</v>
      </c>
      <c r="AE12" s="731" t="s">
        <v>418</v>
      </c>
      <c r="AF12" s="778"/>
      <c r="AG12" s="778"/>
      <c r="AH12" s="62"/>
      <c r="AI12" s="62"/>
      <c r="AK12" s="65"/>
      <c r="AR12" s="64"/>
      <c r="AT12" s="64"/>
    </row>
    <row r="13" spans="2:46" s="63" customFormat="1" ht="42.75" customHeight="1">
      <c r="B13" s="733"/>
      <c r="C13" s="736"/>
      <c r="D13" s="441"/>
      <c r="E13" s="739"/>
      <c r="F13" s="739"/>
      <c r="G13" s="739"/>
      <c r="H13" s="739"/>
      <c r="I13" s="741"/>
      <c r="J13" s="749"/>
      <c r="K13" s="744"/>
      <c r="L13" s="66" t="s">
        <v>419</v>
      </c>
      <c r="M13" s="438" t="s">
        <v>420</v>
      </c>
      <c r="N13" s="442" t="s">
        <v>421</v>
      </c>
      <c r="O13" s="438" t="s">
        <v>420</v>
      </c>
      <c r="P13" s="744"/>
      <c r="Q13" s="442" t="s">
        <v>421</v>
      </c>
      <c r="R13" s="438" t="s">
        <v>420</v>
      </c>
      <c r="S13" s="744"/>
      <c r="T13" s="442" t="s">
        <v>422</v>
      </c>
      <c r="U13" s="438" t="s">
        <v>423</v>
      </c>
      <c r="V13" s="782"/>
      <c r="W13" s="775"/>
      <c r="X13" s="442" t="s">
        <v>424</v>
      </c>
      <c r="Y13" s="442" t="s">
        <v>425</v>
      </c>
      <c r="Z13" s="442" t="s">
        <v>426</v>
      </c>
      <c r="AA13" s="442" t="s">
        <v>425</v>
      </c>
      <c r="AB13" s="442" t="s">
        <v>426</v>
      </c>
      <c r="AC13" s="442" t="s">
        <v>425</v>
      </c>
      <c r="AD13" s="775"/>
      <c r="AE13" s="779"/>
      <c r="AF13" s="779"/>
      <c r="AG13" s="779"/>
      <c r="AH13" s="62"/>
      <c r="AI13" s="62"/>
      <c r="AK13" s="65"/>
      <c r="AR13" s="64"/>
      <c r="AT13" s="64"/>
    </row>
    <row r="14" spans="2:35" ht="15" customHeight="1">
      <c r="B14" s="67">
        <v>1</v>
      </c>
      <c r="C14" s="67">
        <v>2</v>
      </c>
      <c r="D14" s="67"/>
      <c r="E14" s="68">
        <v>3</v>
      </c>
      <c r="F14" s="68">
        <v>4</v>
      </c>
      <c r="G14" s="68">
        <v>5</v>
      </c>
      <c r="H14" s="68">
        <v>6</v>
      </c>
      <c r="I14" s="69">
        <v>7</v>
      </c>
      <c r="J14" s="69">
        <v>8</v>
      </c>
      <c r="K14" s="69">
        <v>9</v>
      </c>
      <c r="L14" s="69">
        <v>10</v>
      </c>
      <c r="M14" s="69">
        <v>11</v>
      </c>
      <c r="N14" s="69">
        <v>12</v>
      </c>
      <c r="O14" s="69">
        <v>13</v>
      </c>
      <c r="P14" s="505">
        <v>14</v>
      </c>
      <c r="Q14" s="69">
        <v>15</v>
      </c>
      <c r="R14" s="505">
        <v>16</v>
      </c>
      <c r="S14" s="505">
        <v>17</v>
      </c>
      <c r="T14" s="69">
        <v>18</v>
      </c>
      <c r="U14" s="70">
        <v>19</v>
      </c>
      <c r="V14" s="71">
        <v>20</v>
      </c>
      <c r="W14" s="71">
        <v>21</v>
      </c>
      <c r="X14" s="71">
        <v>22</v>
      </c>
      <c r="Y14" s="71">
        <v>23</v>
      </c>
      <c r="Z14" s="71">
        <v>24</v>
      </c>
      <c r="AA14" s="71">
        <v>25</v>
      </c>
      <c r="AB14" s="71">
        <v>26</v>
      </c>
      <c r="AC14" s="72">
        <v>27</v>
      </c>
      <c r="AD14" s="72">
        <v>28</v>
      </c>
      <c r="AE14" s="72">
        <v>29</v>
      </c>
      <c r="AF14" s="72">
        <v>30</v>
      </c>
      <c r="AG14" s="72">
        <v>31</v>
      </c>
      <c r="AH14" s="48"/>
      <c r="AI14" s="48"/>
    </row>
    <row r="15" spans="2:35" ht="24.75" customHeight="1">
      <c r="B15" s="73"/>
      <c r="C15" s="74" t="s">
        <v>363</v>
      </c>
      <c r="D15" s="74"/>
      <c r="E15" s="73"/>
      <c r="F15" s="73"/>
      <c r="G15" s="73"/>
      <c r="H15" s="73"/>
      <c r="I15" s="73"/>
      <c r="J15" s="73"/>
      <c r="K15" s="75"/>
      <c r="L15" s="73"/>
      <c r="M15" s="73"/>
      <c r="N15" s="73"/>
      <c r="O15" s="73"/>
      <c r="P15" s="75"/>
      <c r="Q15" s="73"/>
      <c r="R15" s="73"/>
      <c r="S15" s="75"/>
      <c r="T15" s="73"/>
      <c r="U15" s="76"/>
      <c r="V15" s="77"/>
      <c r="W15" s="77"/>
      <c r="X15" s="77"/>
      <c r="Y15" s="77"/>
      <c r="Z15" s="77"/>
      <c r="AA15" s="77"/>
      <c r="AB15" s="77"/>
      <c r="AC15" s="73"/>
      <c r="AD15" s="73"/>
      <c r="AE15" s="73"/>
      <c r="AF15" s="75"/>
      <c r="AG15" s="75"/>
      <c r="AH15" s="48"/>
      <c r="AI15" s="48"/>
    </row>
    <row r="16" spans="2:46" s="90" customFormat="1" ht="15" customHeight="1">
      <c r="B16" s="78">
        <v>1</v>
      </c>
      <c r="C16" s="79" t="s">
        <v>427</v>
      </c>
      <c r="D16" s="80"/>
      <c r="E16" s="81">
        <v>1</v>
      </c>
      <c r="F16" s="82"/>
      <c r="G16" s="83"/>
      <c r="H16" s="81">
        <v>26718</v>
      </c>
      <c r="I16" s="81"/>
      <c r="J16" s="78">
        <v>1.25</v>
      </c>
      <c r="K16" s="84">
        <f>INT(IF(AND(H16="",I16="",J16=""),0,IF(H16="",1,H16)*IF(I16="",1,I16)*IF(J16="",1,J16)))</f>
        <v>33397</v>
      </c>
      <c r="L16" s="78"/>
      <c r="M16" s="84">
        <f>L16*$K16</f>
        <v>0</v>
      </c>
      <c r="N16" s="78"/>
      <c r="O16" s="84">
        <f>N16*$K16</f>
        <v>0</v>
      </c>
      <c r="P16" s="84">
        <f>(K16+M16+O16)*E16</f>
        <v>33397</v>
      </c>
      <c r="Q16" s="78"/>
      <c r="R16" s="84">
        <f>Q16*$K16*E16</f>
        <v>0</v>
      </c>
      <c r="S16" s="84">
        <f>(P16+R16)</f>
        <v>33397</v>
      </c>
      <c r="T16" s="85"/>
      <c r="U16" s="5">
        <f>S16*T16/100</f>
        <v>0</v>
      </c>
      <c r="V16" s="86"/>
      <c r="W16" s="78"/>
      <c r="X16" s="87"/>
      <c r="Y16" s="86"/>
      <c r="Z16" s="78"/>
      <c r="AA16" s="87"/>
      <c r="AB16" s="86"/>
      <c r="AC16" s="78"/>
      <c r="AD16" s="87">
        <v>3890</v>
      </c>
      <c r="AE16" s="88">
        <f>U16+V16+W16+Y16+AA16+AC16+AD16</f>
        <v>3890</v>
      </c>
      <c r="AF16" s="75">
        <f>(S16+AE16)*0.3</f>
        <v>11186.1</v>
      </c>
      <c r="AG16" s="84">
        <f>S16+AE16+AF16</f>
        <v>48473.1</v>
      </c>
      <c r="AH16" s="89"/>
      <c r="AI16" s="89"/>
      <c r="AR16" s="91"/>
      <c r="AS16" s="92"/>
      <c r="AT16" s="91"/>
    </row>
    <row r="17" spans="2:46" s="90" customFormat="1" ht="15" customHeight="1">
      <c r="B17" s="78">
        <v>2</v>
      </c>
      <c r="C17" s="93" t="s">
        <v>520</v>
      </c>
      <c r="D17" s="94"/>
      <c r="E17" s="93">
        <v>1</v>
      </c>
      <c r="F17" s="82"/>
      <c r="G17" s="94"/>
      <c r="H17" s="93">
        <v>20552</v>
      </c>
      <c r="I17" s="93"/>
      <c r="J17" s="5">
        <v>1.25</v>
      </c>
      <c r="K17" s="84">
        <f>INT(IF(AND(H17="",I17="",J17=""),0,IF(H17="",1,H17)*IF(I17="",1,I17)*IF(J17="",1,J17)))</f>
        <v>25690</v>
      </c>
      <c r="L17" s="5"/>
      <c r="M17" s="84">
        <f>L17*$K17</f>
        <v>0</v>
      </c>
      <c r="N17" s="95">
        <v>0</v>
      </c>
      <c r="O17" s="84">
        <f>N17*$K17</f>
        <v>0</v>
      </c>
      <c r="P17" s="84">
        <f>(K17+M17+O17)*E17</f>
        <v>25690</v>
      </c>
      <c r="Q17" s="5"/>
      <c r="R17" s="84">
        <f>Q17*$K17*E17</f>
        <v>0</v>
      </c>
      <c r="S17" s="84">
        <f>(P17+R17)</f>
        <v>25690</v>
      </c>
      <c r="T17" s="95"/>
      <c r="U17" s="5">
        <f>S17*T17/100</f>
        <v>0</v>
      </c>
      <c r="V17" s="5"/>
      <c r="W17" s="5"/>
      <c r="X17" s="5"/>
      <c r="Y17" s="5"/>
      <c r="Z17" s="5"/>
      <c r="AA17" s="5"/>
      <c r="AB17" s="5"/>
      <c r="AC17" s="5"/>
      <c r="AD17" s="5">
        <v>3468</v>
      </c>
      <c r="AE17" s="88">
        <f>U17+V17+W17+Y17+AA17+AC17+AD17</f>
        <v>3468</v>
      </c>
      <c r="AF17" s="75">
        <f>(S17+AE17)*0.3</f>
        <v>8747.4</v>
      </c>
      <c r="AG17" s="84">
        <f>S17+AE17+AF17</f>
        <v>37905.4</v>
      </c>
      <c r="AH17" s="89"/>
      <c r="AI17" s="89"/>
      <c r="AR17" s="91"/>
      <c r="AS17" s="92"/>
      <c r="AT17" s="91"/>
    </row>
    <row r="18" spans="2:46" s="90" customFormat="1" ht="15" customHeight="1">
      <c r="B18" s="78">
        <v>3</v>
      </c>
      <c r="C18" s="93" t="s">
        <v>520</v>
      </c>
      <c r="D18" s="94"/>
      <c r="E18" s="93">
        <v>0.45</v>
      </c>
      <c r="F18" s="82"/>
      <c r="G18" s="94"/>
      <c r="H18" s="93">
        <v>20552</v>
      </c>
      <c r="I18" s="93"/>
      <c r="J18" s="5">
        <v>1.25</v>
      </c>
      <c r="K18" s="84">
        <f>INT(IF(AND(H18="",I18="",J18=""),0,IF(H18="",1,H18)*IF(I18="",1,I18)*IF(J18="",1,J18)))</f>
        <v>25690</v>
      </c>
      <c r="L18" s="5"/>
      <c r="M18" s="84">
        <f>L18*$K18</f>
        <v>0</v>
      </c>
      <c r="N18" s="95">
        <v>0</v>
      </c>
      <c r="O18" s="84">
        <f>N18*$K18</f>
        <v>0</v>
      </c>
      <c r="P18" s="84">
        <f>(K18+M18+O18)*E18</f>
        <v>11560.5</v>
      </c>
      <c r="Q18" s="5"/>
      <c r="R18" s="84">
        <f>Q18*$K18*E18</f>
        <v>0</v>
      </c>
      <c r="S18" s="84">
        <f>(P18+R18)</f>
        <v>11560.5</v>
      </c>
      <c r="T18" s="95"/>
      <c r="U18" s="5">
        <f>S18*T18/100</f>
        <v>0</v>
      </c>
      <c r="V18" s="5"/>
      <c r="W18" s="5"/>
      <c r="X18" s="5"/>
      <c r="Y18" s="5"/>
      <c r="Z18" s="5"/>
      <c r="AA18" s="5"/>
      <c r="AB18" s="5"/>
      <c r="AC18" s="5"/>
      <c r="AD18" s="5">
        <v>2081</v>
      </c>
      <c r="AE18" s="88">
        <f>U18+V18+W18+Y18+AA18+AC18+AD18</f>
        <v>2081</v>
      </c>
      <c r="AF18" s="75">
        <f>(S18+AE18)*0.3</f>
        <v>4092.45</v>
      </c>
      <c r="AG18" s="84">
        <f>S18+AE18+AF18</f>
        <v>17733.95</v>
      </c>
      <c r="AH18" s="89"/>
      <c r="AI18" s="89"/>
      <c r="AR18" s="91"/>
      <c r="AS18" s="92"/>
      <c r="AT18" s="91"/>
    </row>
    <row r="19" spans="2:34" ht="15.75" thickBot="1">
      <c r="B19" s="96"/>
      <c r="C19" s="97" t="s">
        <v>229</v>
      </c>
      <c r="D19" s="97"/>
      <c r="E19" s="97">
        <f>SUM(E16:E18)</f>
        <v>2.45</v>
      </c>
      <c r="F19" s="98"/>
      <c r="G19" s="98"/>
      <c r="H19" s="98"/>
      <c r="I19" s="98"/>
      <c r="J19" s="98"/>
      <c r="K19" s="99">
        <f>SUM(K16:K18)</f>
        <v>84777</v>
      </c>
      <c r="L19" s="100"/>
      <c r="M19" s="99">
        <f>SUM(M16:M18)</f>
        <v>0</v>
      </c>
      <c r="N19" s="100"/>
      <c r="O19" s="99">
        <f>SUM(O16:O18)</f>
        <v>0</v>
      </c>
      <c r="P19" s="99">
        <f>SUM(P16:P18)</f>
        <v>70647.5</v>
      </c>
      <c r="Q19" s="98"/>
      <c r="R19" s="99">
        <f>SUM(R16:R18)</f>
        <v>0</v>
      </c>
      <c r="S19" s="99">
        <f>SUM(S16:S18)</f>
        <v>70647.5</v>
      </c>
      <c r="T19" s="98"/>
      <c r="U19" s="99">
        <f>SUM(U16:U18)</f>
        <v>0</v>
      </c>
      <c r="V19" s="99">
        <f>SUM(V16:V18)</f>
        <v>0</v>
      </c>
      <c r="W19" s="99">
        <f>SUM(W16:W18)</f>
        <v>0</v>
      </c>
      <c r="X19" s="99"/>
      <c r="Y19" s="99">
        <f aca="true" t="shared" si="0" ref="Y19:AG19">SUM(Y16:Y18)</f>
        <v>0</v>
      </c>
      <c r="Z19" s="99">
        <f t="shared" si="0"/>
        <v>0</v>
      </c>
      <c r="AA19" s="99">
        <f t="shared" si="0"/>
        <v>0</v>
      </c>
      <c r="AB19" s="99">
        <f t="shared" si="0"/>
        <v>0</v>
      </c>
      <c r="AC19" s="99">
        <f t="shared" si="0"/>
        <v>0</v>
      </c>
      <c r="AD19" s="99">
        <f t="shared" si="0"/>
        <v>9439</v>
      </c>
      <c r="AE19" s="99">
        <f t="shared" si="0"/>
        <v>9439</v>
      </c>
      <c r="AF19" s="99">
        <f t="shared" si="0"/>
        <v>24025.95</v>
      </c>
      <c r="AG19" s="99">
        <f t="shared" si="0"/>
        <v>104112.45</v>
      </c>
      <c r="AH19" s="101"/>
    </row>
    <row r="20" spans="2:33" ht="36.75" customHeight="1">
      <c r="B20" s="102"/>
      <c r="C20" s="103" t="s">
        <v>366</v>
      </c>
      <c r="D20" s="103"/>
      <c r="E20" s="102"/>
      <c r="F20" s="102"/>
      <c r="G20" s="102"/>
      <c r="H20" s="102"/>
      <c r="I20" s="102"/>
      <c r="J20" s="102"/>
      <c r="K20" s="75"/>
      <c r="L20" s="102"/>
      <c r="M20" s="104"/>
      <c r="N20" s="102"/>
      <c r="O20" s="102"/>
      <c r="P20" s="104"/>
      <c r="Q20" s="102"/>
      <c r="R20" s="73"/>
      <c r="S20" s="75"/>
      <c r="T20" s="73"/>
      <c r="U20" s="76"/>
      <c r="V20" s="77"/>
      <c r="W20" s="77"/>
      <c r="X20" s="77"/>
      <c r="Y20" s="77"/>
      <c r="Z20" s="77"/>
      <c r="AA20" s="77"/>
      <c r="AB20" s="77"/>
      <c r="AC20" s="73"/>
      <c r="AD20" s="73"/>
      <c r="AE20" s="73"/>
      <c r="AF20" s="75"/>
      <c r="AG20" s="75"/>
    </row>
    <row r="21" spans="2:46" s="90" customFormat="1" ht="17.25" customHeight="1">
      <c r="B21" s="105">
        <v>1</v>
      </c>
      <c r="C21" s="95" t="s">
        <v>625</v>
      </c>
      <c r="D21" s="5"/>
      <c r="E21" s="5">
        <v>5</v>
      </c>
      <c r="F21" s="110"/>
      <c r="G21" s="5"/>
      <c r="H21" s="5">
        <v>4025</v>
      </c>
      <c r="I21" s="5"/>
      <c r="J21" s="5">
        <v>1</v>
      </c>
      <c r="K21" s="84">
        <v>4025</v>
      </c>
      <c r="L21" s="5"/>
      <c r="M21" s="84">
        <f>L21*K21</f>
        <v>0</v>
      </c>
      <c r="N21" s="5"/>
      <c r="O21" s="106">
        <f>N21*K21</f>
        <v>0</v>
      </c>
      <c r="P21" s="84">
        <v>4025</v>
      </c>
      <c r="Q21" s="5"/>
      <c r="R21" s="84">
        <f>Q21*$K21*E21</f>
        <v>0</v>
      </c>
      <c r="S21" s="84">
        <v>4025</v>
      </c>
      <c r="T21" s="5"/>
      <c r="U21" s="107">
        <f>S21*T21/100</f>
        <v>0</v>
      </c>
      <c r="V21" s="5"/>
      <c r="W21" s="5"/>
      <c r="X21" s="5"/>
      <c r="Y21" s="5"/>
      <c r="Z21" s="5"/>
      <c r="AA21" s="5"/>
      <c r="AB21" s="5"/>
      <c r="AC21" s="5"/>
      <c r="AD21" s="5"/>
      <c r="AE21" s="88">
        <f>U21+V21+W21+Y21+AA21+AC21+AD21</f>
        <v>0</v>
      </c>
      <c r="AF21" s="75">
        <f>(S21+AE21)*0.3</f>
        <v>1207.5</v>
      </c>
      <c r="AG21" s="84">
        <f>S21+AE21+AF21</f>
        <v>5232.5</v>
      </c>
      <c r="AR21" s="91"/>
      <c r="AS21" s="92"/>
      <c r="AT21" s="91"/>
    </row>
    <row r="22" spans="2:46" s="90" customFormat="1" ht="15" customHeight="1">
      <c r="B22" s="105">
        <v>2</v>
      </c>
      <c r="C22" s="95" t="s">
        <v>521</v>
      </c>
      <c r="D22" s="5"/>
      <c r="E22" s="5">
        <v>1</v>
      </c>
      <c r="F22" s="108" t="s">
        <v>428</v>
      </c>
      <c r="G22" s="5"/>
      <c r="H22" s="5">
        <v>6172</v>
      </c>
      <c r="I22" s="5"/>
      <c r="J22" s="5">
        <v>1.25</v>
      </c>
      <c r="K22" s="84">
        <v>7715</v>
      </c>
      <c r="L22" s="5"/>
      <c r="M22" s="84">
        <f>L22*K22</f>
        <v>0</v>
      </c>
      <c r="N22" s="5"/>
      <c r="O22" s="106">
        <f>N22*K22</f>
        <v>0</v>
      </c>
      <c r="P22" s="84">
        <v>7715</v>
      </c>
      <c r="Q22" s="5"/>
      <c r="R22" s="84">
        <f>Q22*$K22*E22</f>
        <v>0</v>
      </c>
      <c r="S22" s="84">
        <v>7715</v>
      </c>
      <c r="T22" s="5"/>
      <c r="U22" s="107">
        <f>S22*T22/100</f>
        <v>0</v>
      </c>
      <c r="V22" s="5"/>
      <c r="W22" s="5"/>
      <c r="X22" s="5"/>
      <c r="Y22" s="5"/>
      <c r="Z22" s="5"/>
      <c r="AA22" s="5"/>
      <c r="AB22" s="5"/>
      <c r="AC22" s="5"/>
      <c r="AD22" s="5"/>
      <c r="AE22" s="88">
        <f>U22+V22+W22+Y22+AA22+AC22+AD22</f>
        <v>0</v>
      </c>
      <c r="AF22" s="75">
        <f>(S22+AE22)*0.3</f>
        <v>2314.5</v>
      </c>
      <c r="AG22" s="84">
        <f>S22+AE22+AF22</f>
        <v>10029.5</v>
      </c>
      <c r="AR22" s="91"/>
      <c r="AS22" s="92"/>
      <c r="AT22" s="91"/>
    </row>
    <row r="23" spans="2:46" s="90" customFormat="1" ht="15" customHeight="1">
      <c r="B23" s="105">
        <v>3</v>
      </c>
      <c r="C23" s="95" t="s">
        <v>626</v>
      </c>
      <c r="D23" s="5"/>
      <c r="E23" s="5">
        <v>5</v>
      </c>
      <c r="F23" s="108" t="s">
        <v>428</v>
      </c>
      <c r="G23" s="5"/>
      <c r="H23" s="5">
        <v>3355</v>
      </c>
      <c r="I23" s="5"/>
      <c r="J23" s="5">
        <v>1</v>
      </c>
      <c r="K23" s="84">
        <v>3355</v>
      </c>
      <c r="L23" s="5"/>
      <c r="M23" s="84">
        <f>L23*K23</f>
        <v>0</v>
      </c>
      <c r="N23" s="5"/>
      <c r="O23" s="106">
        <f>N23*K23</f>
        <v>0</v>
      </c>
      <c r="P23" s="84">
        <v>3355</v>
      </c>
      <c r="Q23" s="5"/>
      <c r="R23" s="84">
        <f>Q23*$K23*E23</f>
        <v>0</v>
      </c>
      <c r="S23" s="84">
        <v>1677.5</v>
      </c>
      <c r="T23" s="5"/>
      <c r="U23" s="107">
        <f>S23*T23/100</f>
        <v>0</v>
      </c>
      <c r="V23" s="5"/>
      <c r="W23" s="5"/>
      <c r="X23" s="5"/>
      <c r="Y23" s="5"/>
      <c r="Z23" s="5"/>
      <c r="AA23" s="5"/>
      <c r="AB23" s="5"/>
      <c r="AC23" s="5"/>
      <c r="AD23" s="5"/>
      <c r="AE23" s="88">
        <f>U23+V23+W23+Y23+AA23+AC23+AD23</f>
        <v>0</v>
      </c>
      <c r="AF23" s="75">
        <f>(S23+AE23)*0.3</f>
        <v>503.25</v>
      </c>
      <c r="AG23" s="84">
        <f>S23+AE23+AF23</f>
        <v>2180.75</v>
      </c>
      <c r="AR23" s="91"/>
      <c r="AS23" s="92"/>
      <c r="AT23" s="91"/>
    </row>
    <row r="24" spans="2:46" s="90" customFormat="1" ht="15" customHeight="1">
      <c r="B24" s="105">
        <v>4</v>
      </c>
      <c r="C24" s="95" t="s">
        <v>627</v>
      </c>
      <c r="D24" s="5"/>
      <c r="E24" s="5">
        <v>25</v>
      </c>
      <c r="F24" s="108" t="s">
        <v>428</v>
      </c>
      <c r="G24" s="5"/>
      <c r="H24" s="5">
        <v>5234</v>
      </c>
      <c r="I24" s="5"/>
      <c r="J24" s="5">
        <v>1</v>
      </c>
      <c r="K24" s="84">
        <v>6542.5</v>
      </c>
      <c r="L24" s="5"/>
      <c r="M24" s="84">
        <f>L24*K24</f>
        <v>0</v>
      </c>
      <c r="N24" s="5"/>
      <c r="O24" s="106">
        <f>N24*K24</f>
        <v>0</v>
      </c>
      <c r="P24" s="84">
        <v>6542.5</v>
      </c>
      <c r="Q24" s="5"/>
      <c r="R24" s="84">
        <f>Q24*$K24*E24</f>
        <v>0</v>
      </c>
      <c r="S24" s="84">
        <v>1653.63</v>
      </c>
      <c r="T24" s="5"/>
      <c r="U24" s="107"/>
      <c r="V24" s="5"/>
      <c r="W24" s="5"/>
      <c r="X24" s="5"/>
      <c r="Y24" s="5"/>
      <c r="Z24" s="5"/>
      <c r="AA24" s="5"/>
      <c r="AB24" s="5"/>
      <c r="AC24" s="5"/>
      <c r="AD24" s="5"/>
      <c r="AE24" s="88">
        <f>U24+V24+W24+Y24+AA24+AC24+AD24</f>
        <v>0</v>
      </c>
      <c r="AF24" s="75">
        <f>(S24+AE24)*0.3</f>
        <v>496.089</v>
      </c>
      <c r="AG24" s="84">
        <f>S24+AE24+AF24</f>
        <v>2149.719</v>
      </c>
      <c r="AR24" s="91"/>
      <c r="AS24" s="92"/>
      <c r="AT24" s="91"/>
    </row>
    <row r="25" spans="2:46" s="90" customFormat="1" ht="15" customHeight="1">
      <c r="B25" s="105"/>
      <c r="C25" s="5"/>
      <c r="D25" s="5"/>
      <c r="E25" s="5">
        <f>E21+E22+E23+E24</f>
        <v>36</v>
      </c>
      <c r="F25" s="108"/>
      <c r="G25" s="5"/>
      <c r="H25" s="5"/>
      <c r="I25" s="5"/>
      <c r="J25" s="5"/>
      <c r="K25" s="84"/>
      <c r="L25" s="5"/>
      <c r="M25" s="84"/>
      <c r="N25" s="5"/>
      <c r="O25" s="106"/>
      <c r="P25" s="84"/>
      <c r="Q25" s="5"/>
      <c r="R25" s="84">
        <f>Q25*$K25*E25</f>
        <v>0</v>
      </c>
      <c r="S25" s="8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88"/>
      <c r="AF25" s="112"/>
      <c r="AG25" s="111"/>
      <c r="AR25" s="91"/>
      <c r="AS25" s="92"/>
      <c r="AT25" s="91"/>
    </row>
    <row r="26" spans="2:33" ht="22.5" customHeight="1" thickBot="1">
      <c r="B26" s="96"/>
      <c r="C26" s="97" t="s">
        <v>429</v>
      </c>
      <c r="D26" s="97"/>
      <c r="E26" s="113"/>
      <c r="F26" s="98"/>
      <c r="G26" s="98"/>
      <c r="H26" s="98"/>
      <c r="I26" s="98"/>
      <c r="J26" s="98"/>
      <c r="K26" s="114">
        <v>106414.5</v>
      </c>
      <c r="L26" s="115"/>
      <c r="M26" s="114"/>
      <c r="N26" s="116"/>
      <c r="O26" s="114"/>
      <c r="P26" s="114">
        <f>P25+P19</f>
        <v>70647.5</v>
      </c>
      <c r="Q26" s="98"/>
      <c r="R26" s="114"/>
      <c r="S26" s="114">
        <f>S25+S19</f>
        <v>70647.5</v>
      </c>
      <c r="T26" s="98"/>
      <c r="U26" s="114"/>
      <c r="V26" s="114"/>
      <c r="W26" s="114"/>
      <c r="X26" s="98"/>
      <c r="Y26" s="114"/>
      <c r="Z26" s="98"/>
      <c r="AA26" s="114"/>
      <c r="AB26" s="98"/>
      <c r="AC26" s="114"/>
      <c r="AD26" s="114">
        <f>AD25+AD19</f>
        <v>9439</v>
      </c>
      <c r="AE26" s="114">
        <f>AE25+AE19</f>
        <v>9439</v>
      </c>
      <c r="AF26" s="114">
        <v>166</v>
      </c>
      <c r="AG26" s="114">
        <v>123804.92</v>
      </c>
    </row>
    <row r="27" spans="2:33" ht="21" customHeight="1">
      <c r="B27" s="117"/>
      <c r="D27" s="118" t="s">
        <v>430</v>
      </c>
      <c r="G27" s="119" t="s">
        <v>431</v>
      </c>
      <c r="J27" s="117"/>
      <c r="K27" s="120"/>
      <c r="L27" s="117"/>
      <c r="M27" s="120"/>
      <c r="N27" s="117"/>
      <c r="O27" s="120"/>
      <c r="P27" s="120"/>
      <c r="Q27" s="117"/>
      <c r="R27" s="120"/>
      <c r="S27" s="120"/>
      <c r="T27" s="117"/>
      <c r="U27" s="120"/>
      <c r="V27" s="120"/>
      <c r="W27" s="120"/>
      <c r="X27" s="117"/>
      <c r="Y27" s="120"/>
      <c r="Z27" s="117"/>
      <c r="AA27" s="120"/>
      <c r="AB27" s="117"/>
      <c r="AC27" s="120"/>
      <c r="AD27" s="120"/>
      <c r="AE27" s="120"/>
      <c r="AF27" s="120"/>
      <c r="AG27" s="120"/>
    </row>
    <row r="28" spans="2:33" ht="21" customHeight="1">
      <c r="B28" s="117"/>
      <c r="C28" s="121"/>
      <c r="D28" s="122"/>
      <c r="E28" s="123" t="s">
        <v>432</v>
      </c>
      <c r="F28" s="123" t="s">
        <v>433</v>
      </c>
      <c r="G28" s="124" t="s">
        <v>432</v>
      </c>
      <c r="H28" s="124" t="s">
        <v>433</v>
      </c>
      <c r="I28" s="125"/>
      <c r="J28" s="117"/>
      <c r="K28" s="120"/>
      <c r="L28" s="117"/>
      <c r="M28" s="120"/>
      <c r="N28" s="117"/>
      <c r="O28" s="120"/>
      <c r="P28" s="120"/>
      <c r="Q28" s="117"/>
      <c r="R28" s="120"/>
      <c r="S28" s="120"/>
      <c r="T28" s="117"/>
      <c r="U28" s="120"/>
      <c r="V28" s="120"/>
      <c r="W28" s="120"/>
      <c r="X28" s="117"/>
      <c r="Y28" s="120"/>
      <c r="Z28" s="117"/>
      <c r="AA28" s="120"/>
      <c r="AB28" s="117"/>
      <c r="AC28" s="120"/>
      <c r="AD28" s="120"/>
      <c r="AE28" s="120"/>
      <c r="AF28" s="120"/>
      <c r="AG28" s="120"/>
    </row>
    <row r="29" spans="2:33" ht="21" customHeight="1">
      <c r="B29" s="117"/>
      <c r="C29" s="126" t="s">
        <v>434</v>
      </c>
      <c r="D29" s="127"/>
      <c r="E29" s="128"/>
      <c r="F29" s="127"/>
      <c r="G29" s="127"/>
      <c r="H29" s="127"/>
      <c r="I29" s="127"/>
      <c r="J29" s="117"/>
      <c r="K29" s="129"/>
      <c r="L29" s="117"/>
      <c r="M29" s="129"/>
      <c r="N29" s="117"/>
      <c r="O29" s="117"/>
      <c r="P29" s="129"/>
      <c r="Q29" s="117"/>
      <c r="R29" s="117">
        <v>33830</v>
      </c>
      <c r="S29" s="129"/>
      <c r="T29" s="117"/>
      <c r="U29" s="117"/>
      <c r="V29" s="129"/>
      <c r="W29" s="117"/>
      <c r="X29" s="117"/>
      <c r="Y29" s="129"/>
      <c r="Z29" s="117"/>
      <c r="AA29" s="129"/>
      <c r="AB29" s="117"/>
      <c r="AC29" s="129"/>
      <c r="AD29" s="129"/>
      <c r="AE29" s="129"/>
      <c r="AF29" s="129"/>
      <c r="AG29" s="129"/>
    </row>
    <row r="30" spans="2:33" ht="42" customHeight="1">
      <c r="B30" s="117"/>
      <c r="C30" s="130" t="str">
        <f>E3</f>
        <v>всего приведенный контингент для Производительности труда</v>
      </c>
      <c r="D30" s="130" t="s">
        <v>390</v>
      </c>
      <c r="E30" s="123">
        <f>I3</f>
        <v>0</v>
      </c>
      <c r="F30" s="123"/>
      <c r="G30" s="124">
        <f>E30</f>
        <v>0</v>
      </c>
      <c r="H30" s="124"/>
      <c r="I30" s="124"/>
      <c r="K30" s="129"/>
      <c r="L30" s="117"/>
      <c r="M30" s="129"/>
      <c r="N30" s="117"/>
      <c r="O30" s="117"/>
      <c r="P30" s="129"/>
      <c r="Q30" s="117"/>
      <c r="R30" s="117"/>
      <c r="S30" s="129"/>
      <c r="T30" s="117"/>
      <c r="U30" s="117"/>
      <c r="V30" s="129"/>
      <c r="W30" s="117"/>
      <c r="X30" s="117"/>
      <c r="Y30" s="129"/>
      <c r="Z30" s="117"/>
      <c r="AA30" s="129"/>
      <c r="AB30" s="117"/>
      <c r="AC30" s="129"/>
      <c r="AD30" s="129"/>
      <c r="AE30" s="129"/>
      <c r="AF30" s="129"/>
      <c r="AG30" s="129"/>
    </row>
    <row r="31" spans="2:33" ht="45.75" customHeight="1">
      <c r="B31" s="117"/>
      <c r="C31" s="130" t="s">
        <v>435</v>
      </c>
      <c r="D31" s="130" t="s">
        <v>436</v>
      </c>
      <c r="E31" s="131" t="e">
        <f>I3/H3*100</f>
        <v>#DIV/0!</v>
      </c>
      <c r="F31" s="123"/>
      <c r="G31" s="132" t="e">
        <f>E31</f>
        <v>#DIV/0!</v>
      </c>
      <c r="H31" s="124"/>
      <c r="I31" s="124"/>
      <c r="J31" s="117"/>
      <c r="K31" s="129"/>
      <c r="L31" s="117"/>
      <c r="M31" s="129"/>
      <c r="N31" s="117"/>
      <c r="O31" s="117"/>
      <c r="P31" s="129"/>
      <c r="Q31" s="117"/>
      <c r="R31" s="117"/>
      <c r="S31" s="129"/>
      <c r="T31" s="117"/>
      <c r="U31" s="117"/>
      <c r="V31" s="129"/>
      <c r="W31" s="117"/>
      <c r="X31" s="117"/>
      <c r="Y31" s="129"/>
      <c r="Z31" s="117"/>
      <c r="AA31" s="129"/>
      <c r="AB31" s="117"/>
      <c r="AC31" s="129"/>
      <c r="AD31" s="129"/>
      <c r="AE31" s="129"/>
      <c r="AF31" s="129"/>
      <c r="AG31" s="129"/>
    </row>
    <row r="32" spans="3:25" ht="42.75" customHeight="1">
      <c r="C32" s="130" t="s">
        <v>437</v>
      </c>
      <c r="D32" s="133" t="s">
        <v>438</v>
      </c>
      <c r="E32" s="134" t="e">
        <f>E30/E29</f>
        <v>#DIV/0!</v>
      </c>
      <c r="F32" s="127"/>
      <c r="G32" s="135"/>
      <c r="H32" s="135"/>
      <c r="I32" s="135"/>
      <c r="K32" s="48"/>
      <c r="L32" s="118" t="s">
        <v>439</v>
      </c>
      <c r="Y32" s="136" t="s">
        <v>440</v>
      </c>
    </row>
    <row r="33" spans="3:47" s="137" customFormat="1" ht="210" customHeight="1">
      <c r="C33" s="138" t="s">
        <v>441</v>
      </c>
      <c r="D33" s="138" t="str">
        <f>D$35</f>
        <v>тыс.руб.</v>
      </c>
      <c r="E33" s="139">
        <f>E34+E35</f>
        <v>4080</v>
      </c>
      <c r="F33" s="139">
        <f aca="true" t="shared" si="1" ref="F33:F39">E33/12</f>
        <v>340</v>
      </c>
      <c r="G33" s="140">
        <f>G34+G35</f>
        <v>4080</v>
      </c>
      <c r="H33" s="140">
        <f>H34+H35</f>
        <v>340</v>
      </c>
      <c r="I33" s="141"/>
      <c r="K33" s="142"/>
      <c r="L33" s="143" t="s">
        <v>442</v>
      </c>
      <c r="M33" s="143" t="s">
        <v>443</v>
      </c>
      <c r="N33" s="143" t="s">
        <v>444</v>
      </c>
      <c r="O33" s="143" t="s">
        <v>445</v>
      </c>
      <c r="P33" s="143" t="s">
        <v>446</v>
      </c>
      <c r="Q33" s="143" t="s">
        <v>447</v>
      </c>
      <c r="R33" s="445" t="s">
        <v>448</v>
      </c>
      <c r="S33" s="445" t="s">
        <v>449</v>
      </c>
      <c r="T33" s="445" t="s">
        <v>450</v>
      </c>
      <c r="U33" s="445" t="s">
        <v>451</v>
      </c>
      <c r="V33" s="445" t="s">
        <v>452</v>
      </c>
      <c r="W33" s="445" t="s">
        <v>453</v>
      </c>
      <c r="X33" s="446"/>
      <c r="Y33" s="144"/>
      <c r="Z33" s="145" t="s">
        <v>454</v>
      </c>
      <c r="AA33" s="145" t="s">
        <v>455</v>
      </c>
      <c r="AB33" s="145" t="s">
        <v>456</v>
      </c>
      <c r="AC33" s="146" t="s">
        <v>457</v>
      </c>
      <c r="AD33" s="145" t="s">
        <v>458</v>
      </c>
      <c r="AE33" s="145" t="s">
        <v>459</v>
      </c>
      <c r="AF33" s="145" t="s">
        <v>460</v>
      </c>
      <c r="AG33" s="146" t="s">
        <v>461</v>
      </c>
      <c r="AH33" s="147" t="s">
        <v>462</v>
      </c>
      <c r="AI33" s="145" t="s">
        <v>463</v>
      </c>
      <c r="AJ33" s="145" t="s">
        <v>464</v>
      </c>
      <c r="AK33" s="145" t="s">
        <v>465</v>
      </c>
      <c r="AL33" s="146" t="s">
        <v>466</v>
      </c>
      <c r="AM33" s="147" t="s">
        <v>467</v>
      </c>
      <c r="AN33" s="145" t="s">
        <v>468</v>
      </c>
      <c r="AO33" s="145" t="s">
        <v>469</v>
      </c>
      <c r="AP33" s="145" t="s">
        <v>470</v>
      </c>
      <c r="AQ33" s="146" t="s">
        <v>471</v>
      </c>
      <c r="AR33" s="447" t="s">
        <v>472</v>
      </c>
      <c r="AS33" s="148" t="s">
        <v>473</v>
      </c>
      <c r="AT33" s="149" t="s">
        <v>474</v>
      </c>
      <c r="AU33" s="144"/>
    </row>
    <row r="34" spans="3:47" s="137" customFormat="1" ht="79.5" customHeight="1">
      <c r="C34" s="150" t="s">
        <v>475</v>
      </c>
      <c r="D34" s="130" t="str">
        <f>D$35</f>
        <v>тыс.руб.</v>
      </c>
      <c r="E34" s="151"/>
      <c r="F34" s="131">
        <f t="shared" si="1"/>
        <v>0</v>
      </c>
      <c r="G34" s="152">
        <f aca="true" t="shared" si="2" ref="G34:H36">E34</f>
        <v>0</v>
      </c>
      <c r="H34" s="152">
        <f t="shared" si="2"/>
        <v>0</v>
      </c>
      <c r="I34" s="141"/>
      <c r="K34" s="142"/>
      <c r="L34" s="448" t="e">
        <f>#REF!*1.3</f>
        <v>#REF!</v>
      </c>
      <c r="M34" s="449" t="e">
        <f>#REF!*1.3</f>
        <v>#REF!</v>
      </c>
      <c r="N34" s="449" t="e">
        <f>#REF!*1.3</f>
        <v>#REF!</v>
      </c>
      <c r="O34" s="449" t="e">
        <f>#REF!*1.3</f>
        <v>#REF!</v>
      </c>
      <c r="P34" s="448" t="e">
        <f>(S19+#REF!+#REF!)*1.3</f>
        <v>#REF!</v>
      </c>
      <c r="Q34" s="448" t="e">
        <f>(AE19+#REF!+#REF!)*1.3</f>
        <v>#REF!</v>
      </c>
      <c r="R34" s="153">
        <v>0.6</v>
      </c>
      <c r="S34" s="154">
        <v>38296</v>
      </c>
      <c r="T34" s="155">
        <v>25530</v>
      </c>
      <c r="U34" s="156">
        <v>0</v>
      </c>
      <c r="V34" s="157">
        <v>0</v>
      </c>
      <c r="W34" s="153">
        <v>0.05</v>
      </c>
      <c r="X34" s="158"/>
      <c r="Y34" s="159" t="s">
        <v>476</v>
      </c>
      <c r="Z34" s="160">
        <f>31-7</f>
        <v>24</v>
      </c>
      <c r="AA34" s="160">
        <f>28-1</f>
        <v>27</v>
      </c>
      <c r="AB34" s="160">
        <f>31-2</f>
        <v>29</v>
      </c>
      <c r="AC34" s="161">
        <f>SUM(Z34:AB34)</f>
        <v>80</v>
      </c>
      <c r="AD34" s="160">
        <v>30</v>
      </c>
      <c r="AE34" s="160">
        <f>31-4</f>
        <v>27</v>
      </c>
      <c r="AF34" s="160">
        <f>30-1</f>
        <v>29</v>
      </c>
      <c r="AG34" s="162">
        <f>SUM(AD34:AF34)</f>
        <v>86</v>
      </c>
      <c r="AH34" s="161">
        <f>AC34+AG34</f>
        <v>166</v>
      </c>
      <c r="AI34" s="160">
        <v>31</v>
      </c>
      <c r="AJ34" s="160">
        <v>31</v>
      </c>
      <c r="AK34" s="160">
        <v>30</v>
      </c>
      <c r="AL34" s="162">
        <f>SUM(AI34:AK34)</f>
        <v>92</v>
      </c>
      <c r="AM34" s="161">
        <f>AH34+AL34</f>
        <v>258</v>
      </c>
      <c r="AN34" s="160">
        <v>31</v>
      </c>
      <c r="AO34" s="160">
        <v>30</v>
      </c>
      <c r="AP34" s="160">
        <v>31</v>
      </c>
      <c r="AQ34" s="161">
        <f>SUM(AN34:AP34)</f>
        <v>92</v>
      </c>
      <c r="AR34" s="163">
        <f>AM34+AQ34</f>
        <v>350</v>
      </c>
      <c r="AS34" s="162"/>
      <c r="AT34" s="164">
        <f>AR34/12</f>
        <v>29.166666666666668</v>
      </c>
      <c r="AU34" s="165">
        <f>AC34+AG34+AL34+AQ34-AR34</f>
        <v>0</v>
      </c>
    </row>
    <row r="35" spans="3:47" s="137" customFormat="1" ht="108.75">
      <c r="C35" s="150" t="s">
        <v>477</v>
      </c>
      <c r="D35" s="150" t="s">
        <v>478</v>
      </c>
      <c r="E35" s="166">
        <v>4080</v>
      </c>
      <c r="F35" s="131">
        <f t="shared" si="1"/>
        <v>340</v>
      </c>
      <c r="G35" s="167">
        <f t="shared" si="2"/>
        <v>4080</v>
      </c>
      <c r="H35" s="168">
        <f t="shared" si="2"/>
        <v>340</v>
      </c>
      <c r="I35" s="124"/>
      <c r="L35" s="169" t="s">
        <v>479</v>
      </c>
      <c r="M35" s="169" t="s">
        <v>479</v>
      </c>
      <c r="N35" s="169" t="s">
        <v>480</v>
      </c>
      <c r="O35" s="169" t="s">
        <v>480</v>
      </c>
      <c r="P35" s="170" t="s">
        <v>481</v>
      </c>
      <c r="Q35" s="170"/>
      <c r="R35" s="170" t="s">
        <v>482</v>
      </c>
      <c r="S35" s="170" t="s">
        <v>483</v>
      </c>
      <c r="T35" s="170" t="s">
        <v>484</v>
      </c>
      <c r="U35" s="170" t="s">
        <v>485</v>
      </c>
      <c r="V35" s="170" t="s">
        <v>486</v>
      </c>
      <c r="W35" s="170" t="s">
        <v>487</v>
      </c>
      <c r="X35" s="171" t="s">
        <v>488</v>
      </c>
      <c r="Y35" s="172" t="s">
        <v>489</v>
      </c>
      <c r="Z35" s="173" t="e">
        <f>Z38+Z46+Z43</f>
        <v>#DIV/0!</v>
      </c>
      <c r="AA35" s="173" t="e">
        <f>AA38+AA46+AA43</f>
        <v>#DIV/0!</v>
      </c>
      <c r="AB35" s="173" t="e">
        <f>AB38+AB46+AB43</f>
        <v>#DIV/0!</v>
      </c>
      <c r="AC35" s="161" t="e">
        <f>SUM(Z35:AB35)</f>
        <v>#DIV/0!</v>
      </c>
      <c r="AD35" s="173" t="e">
        <f>AD38+AD46+AD43</f>
        <v>#DIV/0!</v>
      </c>
      <c r="AE35" s="173" t="e">
        <f>AE38+AE46+AE43</f>
        <v>#DIV/0!</v>
      </c>
      <c r="AF35" s="173" t="e">
        <f>AF38+AF46+AF43</f>
        <v>#DIV/0!</v>
      </c>
      <c r="AG35" s="162" t="e">
        <f>SUM(AD35:AF35)</f>
        <v>#DIV/0!</v>
      </c>
      <c r="AH35" s="161" t="e">
        <f>AC35+AG35</f>
        <v>#DIV/0!</v>
      </c>
      <c r="AI35" s="173" t="e">
        <f>AI38+AI46+AI43</f>
        <v>#DIV/0!</v>
      </c>
      <c r="AJ35" s="173" t="e">
        <f>AJ38+AJ46+AJ43</f>
        <v>#DIV/0!</v>
      </c>
      <c r="AK35" s="173" t="e">
        <f>AK38+AK46+AK43</f>
        <v>#DIV/0!</v>
      </c>
      <c r="AL35" s="162" t="e">
        <f>SUM(AI35:AK35)</f>
        <v>#DIV/0!</v>
      </c>
      <c r="AM35" s="161" t="e">
        <f>AH35+AL35</f>
        <v>#DIV/0!</v>
      </c>
      <c r="AN35" s="173" t="e">
        <f>AN38+AN46+AN43</f>
        <v>#DIV/0!</v>
      </c>
      <c r="AO35" s="173" t="e">
        <f>AO38+AO46+AO43</f>
        <v>#DIV/0!</v>
      </c>
      <c r="AP35" s="173" t="e">
        <f>AP38+AP46+AP43</f>
        <v>#DIV/0!</v>
      </c>
      <c r="AQ35" s="161" t="e">
        <f>SUM(AN35:AP35)</f>
        <v>#DIV/0!</v>
      </c>
      <c r="AR35" s="163" t="e">
        <f>T52*12/1000</f>
        <v>#DIV/0!</v>
      </c>
      <c r="AS35" s="174" t="e">
        <f>AQ35+AM35-AR35</f>
        <v>#DIV/0!</v>
      </c>
      <c r="AT35" s="164" t="e">
        <f>AR35/(AR$34-AR42)*1000</f>
        <v>#DIV/0!</v>
      </c>
      <c r="AU35" s="165" t="e">
        <f>AC35+AG35+AL35+AQ35-AR35</f>
        <v>#DIV/0!</v>
      </c>
    </row>
    <row r="36" spans="3:47" s="137" customFormat="1" ht="82.5" customHeight="1">
      <c r="C36" s="130" t="s">
        <v>490</v>
      </c>
      <c r="D36" s="130" t="str">
        <f>D$35</f>
        <v>тыс.руб.</v>
      </c>
      <c r="E36" s="175"/>
      <c r="F36" s="131">
        <f t="shared" si="1"/>
        <v>0</v>
      </c>
      <c r="G36" s="176">
        <f t="shared" si="2"/>
        <v>0</v>
      </c>
      <c r="H36" s="152">
        <f t="shared" si="2"/>
        <v>0</v>
      </c>
      <c r="I36" s="177" t="s">
        <v>491</v>
      </c>
      <c r="L36" s="751" t="s">
        <v>492</v>
      </c>
      <c r="M36" s="752"/>
      <c r="N36" s="752"/>
      <c r="O36" s="753"/>
      <c r="P36" s="178"/>
      <c r="Q36" s="178"/>
      <c r="R36" s="179" t="e">
        <f>L34</f>
        <v>#REF!</v>
      </c>
      <c r="S36" s="179" t="e">
        <f>N34</f>
        <v>#REF!</v>
      </c>
      <c r="T36" s="180" t="e">
        <f>R36+S36</f>
        <v>#REF!</v>
      </c>
      <c r="U36" s="181" t="e">
        <f>P34</f>
        <v>#REF!</v>
      </c>
      <c r="V36" s="182" t="e">
        <f>T36+U36</f>
        <v>#REF!</v>
      </c>
      <c r="W36" s="178"/>
      <c r="X36" s="183" t="e">
        <f>T36+U36+W36</f>
        <v>#REF!</v>
      </c>
      <c r="Y36" s="184" t="s">
        <v>493</v>
      </c>
      <c r="Z36" s="185" t="e">
        <f>IF((Z$34-Z$42)&lt;0,0,$AT36*(Z$34-Z$42)/1000)</f>
        <v>#DIV/0!</v>
      </c>
      <c r="AA36" s="185" t="e">
        <f>IF(AA$34-AA$42&lt;0,0,($AT36*(SUM(Z$34:AA$34)-SUM(Z$42:AA$42))/1000)-Z36)</f>
        <v>#DIV/0!</v>
      </c>
      <c r="AB36" s="185" t="e">
        <f>IF((AB$34-AB$42)&lt;0,0,($AT36*(SUM(Z$34:AB$34)-SUM(Z$42:AB$42))/1000)-SUM(Z36:AA36))</f>
        <v>#DIV/0!</v>
      </c>
      <c r="AC36" s="161" t="e">
        <f>SUM(Z36:AB36)</f>
        <v>#DIV/0!</v>
      </c>
      <c r="AD36" s="185" t="e">
        <f>IF((AD$34-AD$42)&lt;0,0,($AT36*(SUM(Z$34:AB$34)+AD$34-SUM(Z$42:AB$42)-AD$42)/1000)-SUM(Z36:AB36))</f>
        <v>#DIV/0!</v>
      </c>
      <c r="AE36" s="185" t="e">
        <f>IF((AE$34-AE$42)&lt;0,0,($AT36*(SUM(Z$34:AB$34)+SUM(AD$34:AE$34)-SUM(Z$42:AB$42)-SUM(AD$42:AE$42))/1000)-SUM(Z36:AB36)-AD36)</f>
        <v>#DIV/0!</v>
      </c>
      <c r="AF36" s="185" t="e">
        <f>IF((AF$34-AF$42)&lt;0,0,($AT36*(SUM(Z$34:AB$34)+SUM(AD$34:AF$34)-SUM(Z$42:AB$42)-SUM(AD$42:AF$42))/1000)-SUM(Z36:AB36)-SUM(AD36:AE36))</f>
        <v>#DIV/0!</v>
      </c>
      <c r="AG36" s="162" t="e">
        <f>SUM(AD36:AF36)</f>
        <v>#DIV/0!</v>
      </c>
      <c r="AH36" s="161" t="e">
        <f>AC36+AG36</f>
        <v>#DIV/0!</v>
      </c>
      <c r="AI36" s="185" t="e">
        <f>IF((AI$34-AI$42)&lt;0,0,($AT36*(SUM(Z$34:AB$34)+SUM(AD$34:AF$34)+AI$34-SUM(Z$42:AB$42)-SUM(AD$42:AF$42)-AI$42)/1000)-SUM(Z36:AB36)-SUM(AD36:AF36))</f>
        <v>#DIV/0!</v>
      </c>
      <c r="AJ36" s="185" t="e">
        <f>IF((AJ$34-AJ$42)&lt;0,0,($AT36*(SUM(Z$34:AB$34)+SUM(AD$34:AF$34)+SUM(AI$34:AJ$34)-SUM(Z$42:AB$42)-SUM(AD$42:AF$42)-SUM(AI$42:AJ$42))/1000)-SUM(Z36:AB36)-SUM(AD36:AF36)-AI36)</f>
        <v>#DIV/0!</v>
      </c>
      <c r="AK36" s="185" t="e">
        <f>IF((AK$34-AK$42)&lt;0,0,($AT36*(SUM(Z$34:AB$34)+SUM(AD$34:AF$34)+SUM(AI$34:AK$34)-SUM(Z$42:AB$42)-SUM(AD$42:AF$42)-SUM(AI$42:AK$42))/1000)-SUM(Z36:AB36)-SUM(AD36:AF36)-SUM(AI36:AJ36))</f>
        <v>#DIV/0!</v>
      </c>
      <c r="AL36" s="162" t="e">
        <f>SUM(AI36:AK36)</f>
        <v>#DIV/0!</v>
      </c>
      <c r="AM36" s="161" t="e">
        <f>AH36+AL36</f>
        <v>#DIV/0!</v>
      </c>
      <c r="AN36" s="185" t="e">
        <f>IF(AN$34-AN$42&lt;0,0,($AT36*(SUM(Z$34:AB$34)+SUM(AD$34:AF$34)+SUM(AI$34:AK$34)+AN$34-SUM(Z$42:AB$42)-SUM(AD$42:AF$42)-SUM(AI$42:AK$42)-AN$42)/1000)-SUM(Z36:AB36)-SUM(AD36:AF36)-SUM(AI36:AK36))</f>
        <v>#DIV/0!</v>
      </c>
      <c r="AO36" s="185" t="e">
        <f>IF(AO$34-AO$42&lt;0,0,($AT36*(SUM(Z$34:AB$34)+SUM(AD$34:AF$34)+SUM(AI$34:AK$34)+SUM(AN$34:AO$34)-SUM(Z$42:AB$42)-SUM(AD$42:AF$42)-SUM(AI$42:AK$42)-SUM(AN$42:AO$42))/1000)-SUM(Z36:AB36)-SUM(AD36:AF36)-SUM(AI36:AK36)-AN36)</f>
        <v>#DIV/0!</v>
      </c>
      <c r="AP36" s="185" t="e">
        <f>IF(AP$34-AP$42&lt;0,0,($AT36*(SUM(Z$34:AB$34)+SUM(AD$34:AF$34)+SUM(AI$34:AK$34)+SUM(AN$34:AP$34)-SUM(Z$42:AB$42)-SUM(AD$42:AF$42)-SUM(AI$42:AK$42)-SUM(AN$42:AP$42))/1000)-SUM(Z36:AB36)-SUM(AD36:AF36)-SUM(AI36:AK36)-SUM(AN36:AO36))</f>
        <v>#DIV/0!</v>
      </c>
      <c r="AQ36" s="161" t="e">
        <f>SUM(AN36:AP36)</f>
        <v>#DIV/0!</v>
      </c>
      <c r="AR36" s="450" t="e">
        <f>T36*12/1000</f>
        <v>#REF!</v>
      </c>
      <c r="AS36" s="186" t="e">
        <f>AQ36+AM36-AR36</f>
        <v>#DIV/0!</v>
      </c>
      <c r="AT36" s="164" t="e">
        <f>AR36/(AR$34-AR$42)*1000</f>
        <v>#REF!</v>
      </c>
      <c r="AU36" s="165" t="e">
        <f>AC36+AG36+AL36+AQ36-AR36</f>
        <v>#DIV/0!</v>
      </c>
    </row>
    <row r="37" spans="3:47" s="137" customFormat="1" ht="44.25" customHeight="1">
      <c r="C37" s="130" t="s">
        <v>494</v>
      </c>
      <c r="D37" s="130" t="str">
        <f>D$35</f>
        <v>тыс.руб.</v>
      </c>
      <c r="E37" s="187"/>
      <c r="F37" s="123">
        <f t="shared" si="1"/>
        <v>0</v>
      </c>
      <c r="G37" s="188">
        <f>H37*12</f>
        <v>0</v>
      </c>
      <c r="H37" s="188">
        <f>F37</f>
        <v>0</v>
      </c>
      <c r="I37" s="177" t="s">
        <v>491</v>
      </c>
      <c r="L37" s="751" t="s">
        <v>495</v>
      </c>
      <c r="M37" s="752"/>
      <c r="N37" s="752"/>
      <c r="O37" s="753"/>
      <c r="P37" s="178"/>
      <c r="Q37" s="189"/>
      <c r="R37" s="179" t="e">
        <f>M34</f>
        <v>#REF!</v>
      </c>
      <c r="S37" s="179" t="e">
        <f>O34</f>
        <v>#REF!</v>
      </c>
      <c r="T37" s="180" t="e">
        <f>R37+S37</f>
        <v>#REF!</v>
      </c>
      <c r="U37" s="181" t="e">
        <f>Q34</f>
        <v>#REF!</v>
      </c>
      <c r="V37" s="182" t="e">
        <f>T37+U37</f>
        <v>#REF!</v>
      </c>
      <c r="W37" s="178"/>
      <c r="X37" s="183" t="e">
        <f>T37+U37+W37</f>
        <v>#REF!</v>
      </c>
      <c r="Y37" s="184" t="s">
        <v>496</v>
      </c>
      <c r="Z37" s="185" t="e">
        <f>IF((Z$34-Z$42)&lt;0,0,$AT37*(Z$34-Z$42)/1000)</f>
        <v>#DIV/0!</v>
      </c>
      <c r="AA37" s="185" t="e">
        <f>IF(AA$34-AA$42&lt;0,0,($AT37*(SUM(Z$34:AA$34)-SUM(Z$42:AA$42))/1000)-Z37)</f>
        <v>#DIV/0!</v>
      </c>
      <c r="AB37" s="185" t="e">
        <f>IF((AB$34-AB$42)&lt;0,0,($AT37*(SUM(Z$34:AB$34)-SUM(Z$42:AB$42))/1000)-SUM(Z37:AA37))</f>
        <v>#DIV/0!</v>
      </c>
      <c r="AC37" s="161" t="e">
        <f>SUM(Z37:AB37)</f>
        <v>#DIV/0!</v>
      </c>
      <c r="AD37" s="185" t="e">
        <f>IF((AD$34-AD$42)&lt;0,0,($AT37*(SUM(Z$34:AB$34)+AD$34-SUM(Z$42:AB$42)-AD$42)/1000)-SUM(Z37:AB37))</f>
        <v>#DIV/0!</v>
      </c>
      <c r="AE37" s="185" t="e">
        <f>IF((AE$34-AE$42)&lt;0,0,($AT37*(SUM(Z$34:AB$34)+SUM(AD$34:AE$34)-SUM(Z$42:AB$42)-SUM(AD$42:AE$42))/1000)-SUM(Z37:AB37)-AD37)</f>
        <v>#DIV/0!</v>
      </c>
      <c r="AF37" s="185" t="e">
        <f>IF((AF$34-AF$42)&lt;0,0,($AT37*(SUM(Z$34:AB$34)+SUM(AD$34:AF$34)-SUM(Z$42:AB$42)-SUM(AD$42:AF$42))/1000)-SUM(Z37:AB37)-SUM(AD37:AE37))</f>
        <v>#DIV/0!</v>
      </c>
      <c r="AG37" s="162" t="e">
        <f>SUM(AD37:AF37)</f>
        <v>#DIV/0!</v>
      </c>
      <c r="AH37" s="161" t="e">
        <f>AC37+AG37</f>
        <v>#DIV/0!</v>
      </c>
      <c r="AI37" s="185" t="e">
        <f>IF((AI$34-AI$42)&lt;0,0,($AT37*(SUM(Z$34:AB$34)+SUM(AD$34:AF$34)+AI$34-SUM(Z$42:AB$42)-SUM(AD$42:AF$42)-AI$42)/1000)-SUM(Z37:AB37)-SUM(AD37:AF37))</f>
        <v>#DIV/0!</v>
      </c>
      <c r="AJ37" s="185" t="e">
        <f>IF((AJ$34-AJ$42)&lt;0,0,($AT37*(SUM(Z$34:AB$34)+SUM(AD$34:AF$34)+SUM(AI$34:AJ$34)-SUM(Z$42:AB$42)-SUM(AD$42:AF$42)-SUM(AI$42:AJ$42))/1000)-SUM(Z37:AB37)-SUM(AD37:AF37)-AI37)</f>
        <v>#DIV/0!</v>
      </c>
      <c r="AK37" s="185" t="e">
        <f>IF((AK$34-AK$42)&lt;0,0,($AT37*(SUM(Z$34:AB$34)+SUM(AD$34:AF$34)+SUM(AI$34:AK$34)-SUM(Z$42:AB$42)-SUM(AD$42:AF$42)-SUM(AI$42:AK$42))/1000)-SUM(Z37:AB37)-SUM(AD37:AF37)-SUM(AI37:AJ37))</f>
        <v>#DIV/0!</v>
      </c>
      <c r="AL37" s="162" t="e">
        <f>SUM(AI37:AK37)</f>
        <v>#DIV/0!</v>
      </c>
      <c r="AM37" s="161" t="e">
        <f>AH37+AL37</f>
        <v>#DIV/0!</v>
      </c>
      <c r="AN37" s="185" t="e">
        <f>IF(AN$34-AN$42&lt;0,0,($AT37*(SUM(Z$34:AB$34)+SUM(AD$34:AF$34)+SUM(AI$34:AK$34)+AN$34-SUM(Z$42:AB$42)-SUM(AD$42:AF$42)-SUM(AI$42:AK$42)-AN$42)/1000)-SUM(Z37:AB37)-SUM(AD37:AF37)-SUM(AI37:AK37))</f>
        <v>#DIV/0!</v>
      </c>
      <c r="AO37" s="185" t="e">
        <f>IF(AO$34-AO$42&lt;0,0,($AT37*(SUM(Z$34:AB$34)+SUM(AD$34:AF$34)+SUM(AI$34:AK$34)+SUM(AN$34:AO$34)-SUM(Z$42:AB$42)-SUM(AD$42:AF$42)-SUM(AI$42:AK$42)-SUM(AN$42:AO$42))/1000)-SUM(Z37:AB37)-SUM(AD37:AF37)-SUM(AI37:AK37)-AN37)</f>
        <v>#DIV/0!</v>
      </c>
      <c r="AP37" s="185" t="e">
        <f>IF(AP$34-AP$42&lt;0,0,($AT37*(SUM(Z$34:AB$34)+SUM(AD$34:AF$34)+SUM(AI$34:AK$34)+SUM(AN$34:AP$34)-SUM(Z$42:AB$42)-SUM(AD$42:AF$42)-SUM(AI$42:AK$42)-SUM(AN$42:AP$42))/1000)-SUM(Z37:AB37)-SUM(AD37:AF37)-SUM(AI37:AK37)-SUM(AN37:AO37))</f>
        <v>#DIV/0!</v>
      </c>
      <c r="AQ37" s="161" t="e">
        <f>SUM(AN37:AP37)</f>
        <v>#DIV/0!</v>
      </c>
      <c r="AR37" s="163" t="e">
        <f>T37*12/1000</f>
        <v>#REF!</v>
      </c>
      <c r="AS37" s="186" t="e">
        <f>AQ37+AM37-AR37</f>
        <v>#DIV/0!</v>
      </c>
      <c r="AT37" s="164" t="e">
        <f>AR37/(AR$34-AR$42)*1000</f>
        <v>#REF!</v>
      </c>
      <c r="AU37" s="165" t="e">
        <f>AC37+AG37+AL37+AQ37-AR37</f>
        <v>#DIV/0!</v>
      </c>
    </row>
    <row r="38" spans="3:47" s="137" customFormat="1" ht="54" customHeight="1">
      <c r="C38" s="130" t="s">
        <v>497</v>
      </c>
      <c r="D38" s="130" t="str">
        <f>D$35</f>
        <v>тыс.руб.</v>
      </c>
      <c r="E38" s="187">
        <v>272.06</v>
      </c>
      <c r="F38" s="131">
        <f t="shared" si="1"/>
        <v>22.671666666666667</v>
      </c>
      <c r="G38" s="190" t="e">
        <f>12*H38</f>
        <v>#DIV/0!</v>
      </c>
      <c r="H38" s="190" t="e">
        <f>U69/1000</f>
        <v>#DIV/0!</v>
      </c>
      <c r="I38" s="191" t="s">
        <v>498</v>
      </c>
      <c r="L38" s="751" t="s">
        <v>499</v>
      </c>
      <c r="M38" s="752"/>
      <c r="N38" s="752"/>
      <c r="O38" s="753"/>
      <c r="P38" s="192" t="e">
        <f>V38/V49*100</f>
        <v>#REF!</v>
      </c>
      <c r="Q38" s="178"/>
      <c r="R38" s="183" t="e">
        <f>R36+R37</f>
        <v>#REF!</v>
      </c>
      <c r="S38" s="183" t="e">
        <f>S36+S37</f>
        <v>#REF!</v>
      </c>
      <c r="T38" s="180" t="e">
        <f>R38+S38</f>
        <v>#REF!</v>
      </c>
      <c r="U38" s="193" t="e">
        <f>U36+U37</f>
        <v>#REF!</v>
      </c>
      <c r="V38" s="182" t="e">
        <f>T38+U38</f>
        <v>#REF!</v>
      </c>
      <c r="W38" s="178"/>
      <c r="X38" s="183" t="e">
        <f>T38+U38+W38</f>
        <v>#REF!</v>
      </c>
      <c r="Y38" s="184" t="s">
        <v>500</v>
      </c>
      <c r="Z38" s="194" t="e">
        <f>Z36+Z37</f>
        <v>#DIV/0!</v>
      </c>
      <c r="AA38" s="194" t="e">
        <f>AA36+AA37</f>
        <v>#DIV/0!</v>
      </c>
      <c r="AB38" s="194" t="e">
        <f>AB36+AB37</f>
        <v>#DIV/0!</v>
      </c>
      <c r="AC38" s="161" t="e">
        <f>SUM(Z38:AB38)</f>
        <v>#DIV/0!</v>
      </c>
      <c r="AD38" s="194" t="e">
        <f>AD36+AD37</f>
        <v>#DIV/0!</v>
      </c>
      <c r="AE38" s="194" t="e">
        <f>AE36+AE37</f>
        <v>#DIV/0!</v>
      </c>
      <c r="AF38" s="194" t="e">
        <f>AF36+AF37</f>
        <v>#DIV/0!</v>
      </c>
      <c r="AG38" s="162" t="e">
        <f>SUM(AD38:AF38)</f>
        <v>#DIV/0!</v>
      </c>
      <c r="AH38" s="161" t="e">
        <f>AC38+AG38</f>
        <v>#DIV/0!</v>
      </c>
      <c r="AI38" s="194" t="e">
        <f>AI36+AI37</f>
        <v>#DIV/0!</v>
      </c>
      <c r="AJ38" s="194" t="e">
        <f>AJ36+AJ37</f>
        <v>#DIV/0!</v>
      </c>
      <c r="AK38" s="194" t="e">
        <f>AK36+AK37</f>
        <v>#DIV/0!</v>
      </c>
      <c r="AL38" s="162" t="e">
        <f>SUM(AI38:AK38)</f>
        <v>#DIV/0!</v>
      </c>
      <c r="AM38" s="161" t="e">
        <f>AH38+AL38</f>
        <v>#DIV/0!</v>
      </c>
      <c r="AN38" s="194" t="e">
        <f>AN36+AN37</f>
        <v>#DIV/0!</v>
      </c>
      <c r="AO38" s="194" t="e">
        <f>AO36+AO37</f>
        <v>#DIV/0!</v>
      </c>
      <c r="AP38" s="194" t="e">
        <f>AP36+AP37</f>
        <v>#DIV/0!</v>
      </c>
      <c r="AQ38" s="161" t="e">
        <f>SUM(AN38:AP38)</f>
        <v>#DIV/0!</v>
      </c>
      <c r="AR38" s="163" t="e">
        <f>AR36+AR37</f>
        <v>#REF!</v>
      </c>
      <c r="AS38" s="186" t="e">
        <f>AQ38+AM38-AR38</f>
        <v>#DIV/0!</v>
      </c>
      <c r="AT38" s="164" t="e">
        <f>AR38/(AR$34-AR$42)*1000</f>
        <v>#REF!</v>
      </c>
      <c r="AU38" s="165" t="e">
        <f>AC38+AG38+AL38+AQ38-AR38</f>
        <v>#DIV/0!</v>
      </c>
    </row>
    <row r="39" spans="3:47" s="137" customFormat="1" ht="61.5" customHeight="1">
      <c r="C39" s="130" t="s">
        <v>501</v>
      </c>
      <c r="D39" s="130" t="str">
        <f>D$35</f>
        <v>тыс.руб.</v>
      </c>
      <c r="E39" s="187"/>
      <c r="F39" s="131">
        <f t="shared" si="1"/>
        <v>0</v>
      </c>
      <c r="G39" s="195"/>
      <c r="H39" s="195"/>
      <c r="I39" s="191" t="s">
        <v>502</v>
      </c>
      <c r="J39" s="196" t="s">
        <v>503</v>
      </c>
      <c r="L39" s="751" t="s">
        <v>504</v>
      </c>
      <c r="M39" s="752"/>
      <c r="N39" s="752"/>
      <c r="O39" s="753"/>
      <c r="P39" s="197" t="e">
        <f>U39/V49*100</f>
        <v>#DIV/0!</v>
      </c>
      <c r="Q39" s="178"/>
      <c r="R39" s="198"/>
      <c r="S39" s="199"/>
      <c r="T39" s="193">
        <f>F63</f>
        <v>0</v>
      </c>
      <c r="U39" s="193">
        <f>F64</f>
        <v>0</v>
      </c>
      <c r="V39" s="193">
        <f>T39+U39</f>
        <v>0</v>
      </c>
      <c r="W39" s="178"/>
      <c r="X39" s="183">
        <f>T39+U39+W39</f>
        <v>0</v>
      </c>
      <c r="Y39" s="184" t="s">
        <v>505</v>
      </c>
      <c r="Z39" s="194" t="e">
        <f aca="true" t="shared" si="3" ref="Z39:AR39">Z38/Z35*100</f>
        <v>#DIV/0!</v>
      </c>
      <c r="AA39" s="194" t="e">
        <f t="shared" si="3"/>
        <v>#DIV/0!</v>
      </c>
      <c r="AB39" s="194" t="e">
        <f t="shared" si="3"/>
        <v>#DIV/0!</v>
      </c>
      <c r="AC39" s="194" t="e">
        <f t="shared" si="3"/>
        <v>#DIV/0!</v>
      </c>
      <c r="AD39" s="194" t="e">
        <f t="shared" si="3"/>
        <v>#DIV/0!</v>
      </c>
      <c r="AE39" s="194" t="e">
        <f t="shared" si="3"/>
        <v>#DIV/0!</v>
      </c>
      <c r="AF39" s="194" t="e">
        <f t="shared" si="3"/>
        <v>#DIV/0!</v>
      </c>
      <c r="AG39" s="194" t="e">
        <f t="shared" si="3"/>
        <v>#DIV/0!</v>
      </c>
      <c r="AH39" s="194" t="e">
        <f t="shared" si="3"/>
        <v>#DIV/0!</v>
      </c>
      <c r="AI39" s="194" t="e">
        <f t="shared" si="3"/>
        <v>#DIV/0!</v>
      </c>
      <c r="AJ39" s="194" t="e">
        <f t="shared" si="3"/>
        <v>#DIV/0!</v>
      </c>
      <c r="AK39" s="194" t="e">
        <f t="shared" si="3"/>
        <v>#DIV/0!</v>
      </c>
      <c r="AL39" s="194" t="e">
        <f t="shared" si="3"/>
        <v>#DIV/0!</v>
      </c>
      <c r="AM39" s="194" t="e">
        <f t="shared" si="3"/>
        <v>#DIV/0!</v>
      </c>
      <c r="AN39" s="194" t="e">
        <f t="shared" si="3"/>
        <v>#DIV/0!</v>
      </c>
      <c r="AO39" s="194" t="e">
        <f t="shared" si="3"/>
        <v>#DIV/0!</v>
      </c>
      <c r="AP39" s="194" t="e">
        <f t="shared" si="3"/>
        <v>#DIV/0!</v>
      </c>
      <c r="AQ39" s="194" t="e">
        <f t="shared" si="3"/>
        <v>#DIV/0!</v>
      </c>
      <c r="AR39" s="200" t="e">
        <f t="shared" si="3"/>
        <v>#REF!</v>
      </c>
      <c r="AS39" s="186"/>
      <c r="AT39" s="149"/>
      <c r="AU39" s="165"/>
    </row>
    <row r="40" spans="3:47" s="137" customFormat="1" ht="65.25" customHeight="1">
      <c r="C40" s="130" t="s">
        <v>506</v>
      </c>
      <c r="D40" s="122"/>
      <c r="E40" s="122"/>
      <c r="F40" s="122"/>
      <c r="G40" s="190" t="e">
        <f>12*H40</f>
        <v>#DIV/0!</v>
      </c>
      <c r="H40" s="152" t="e">
        <f>U70/1000</f>
        <v>#DIV/0!</v>
      </c>
      <c r="I40" s="191" t="s">
        <v>507</v>
      </c>
      <c r="L40" s="788" t="s">
        <v>508</v>
      </c>
      <c r="M40" s="789"/>
      <c r="N40" s="789"/>
      <c r="O40" s="790"/>
      <c r="P40" s="201">
        <v>1</v>
      </c>
      <c r="Q40" s="202"/>
      <c r="R40" s="202"/>
      <c r="S40" s="203"/>
      <c r="T40" s="180" t="e">
        <f>T49-T38-T39</f>
        <v>#DIV/0!</v>
      </c>
      <c r="U40" s="180" t="e">
        <f>U49-U38-U39</f>
        <v>#DIV/0!</v>
      </c>
      <c r="V40" s="180" t="e">
        <f>T40+U40</f>
        <v>#DIV/0!</v>
      </c>
      <c r="W40" s="204"/>
      <c r="X40" s="180" t="e">
        <f>T40+U40+W40</f>
        <v>#DIV/0!</v>
      </c>
      <c r="Y40" s="205" t="s">
        <v>509</v>
      </c>
      <c r="Z40" s="206"/>
      <c r="AA40" s="206">
        <v>6</v>
      </c>
      <c r="AB40" s="206">
        <v>28</v>
      </c>
      <c r="AC40" s="161">
        <f>SUM(Z40:AB40)</f>
        <v>34</v>
      </c>
      <c r="AD40" s="206"/>
      <c r="AE40" s="206"/>
      <c r="AF40" s="206">
        <v>710</v>
      </c>
      <c r="AG40" s="162">
        <f>SUM(AD40:AF40)</f>
        <v>710</v>
      </c>
      <c r="AH40" s="161">
        <f>AC40+AG40</f>
        <v>744</v>
      </c>
      <c r="AI40" s="206">
        <v>2067</v>
      </c>
      <c r="AJ40" s="206">
        <v>1143</v>
      </c>
      <c r="AK40" s="206"/>
      <c r="AL40" s="162">
        <f>SUM(AI40:AK40)</f>
        <v>3210</v>
      </c>
      <c r="AM40" s="161">
        <f>AH40+AL40</f>
        <v>3954</v>
      </c>
      <c r="AN40" s="206"/>
      <c r="AO40" s="206"/>
      <c r="AP40" s="206"/>
      <c r="AQ40" s="161">
        <f>SUM(AN40:AP40)</f>
        <v>0</v>
      </c>
      <c r="AR40" s="163">
        <f>AM40+AQ40</f>
        <v>3954</v>
      </c>
      <c r="AS40" s="186">
        <f>AQ40+AM40-AR40</f>
        <v>0</v>
      </c>
      <c r="AT40" s="149"/>
      <c r="AU40" s="165">
        <f>AC40+AG40+AL40+AQ40-AR40</f>
        <v>0</v>
      </c>
    </row>
    <row r="41" spans="3:47" s="137" customFormat="1" ht="114.75" customHeight="1">
      <c r="C41" s="207" t="s">
        <v>510</v>
      </c>
      <c r="D41" s="122"/>
      <c r="E41" s="123">
        <v>4352.06</v>
      </c>
      <c r="F41" s="123"/>
      <c r="G41" s="208" t="e">
        <f>G42+G38</f>
        <v>#DIV/0!</v>
      </c>
      <c r="H41" s="190" t="e">
        <f>H42+H38</f>
        <v>#DIV/0!</v>
      </c>
      <c r="I41" s="124" t="s">
        <v>511</v>
      </c>
      <c r="J41" s="783" t="s">
        <v>512</v>
      </c>
      <c r="L41" s="785" t="s">
        <v>513</v>
      </c>
      <c r="M41" s="786"/>
      <c r="N41" s="786"/>
      <c r="O41" s="787"/>
      <c r="P41" s="209"/>
      <c r="Q41" s="202"/>
      <c r="R41" s="202"/>
      <c r="S41" s="203"/>
      <c r="T41" s="210" t="e">
        <f>IF(T36=0,0,T40/T36*100)</f>
        <v>#REF!</v>
      </c>
      <c r="U41" s="211" t="e">
        <f>IF(U36=0,0,U40/U36*100)</f>
        <v>#REF!</v>
      </c>
      <c r="V41" s="211" t="e">
        <f>IF(V36=0,0,V40/V36*100)</f>
        <v>#REF!</v>
      </c>
      <c r="W41" s="212"/>
      <c r="X41" s="213" t="e">
        <f>IF($X$36=0,0,X40/$X$36*100)</f>
        <v>#REF!</v>
      </c>
      <c r="Y41" s="205" t="s">
        <v>514</v>
      </c>
      <c r="Z41" s="214"/>
      <c r="AA41" s="214">
        <v>6</v>
      </c>
      <c r="AB41" s="214">
        <v>28</v>
      </c>
      <c r="AC41" s="161">
        <f>SUM(Z41:AB41)</f>
        <v>34</v>
      </c>
      <c r="AD41" s="214"/>
      <c r="AE41" s="214"/>
      <c r="AF41" s="214">
        <f>3640+280</f>
        <v>3920</v>
      </c>
      <c r="AG41" s="162">
        <f>SUM(AD41:AF41)</f>
        <v>3920</v>
      </c>
      <c r="AH41" s="161">
        <f>AC41+AG41</f>
        <v>3954</v>
      </c>
      <c r="AI41" s="215"/>
      <c r="AJ41" s="215"/>
      <c r="AK41" s="215"/>
      <c r="AL41" s="162">
        <f>SUM(AI41:AK41)</f>
        <v>0</v>
      </c>
      <c r="AM41" s="161">
        <f>AH41+AL41</f>
        <v>3954</v>
      </c>
      <c r="AN41" s="214"/>
      <c r="AO41" s="214"/>
      <c r="AP41" s="214"/>
      <c r="AQ41" s="161">
        <f>SUM(AN41:AP41)</f>
        <v>0</v>
      </c>
      <c r="AR41" s="163">
        <f>AM41+AQ41</f>
        <v>3954</v>
      </c>
      <c r="AS41" s="186">
        <f>AR41-E57</f>
        <v>3954</v>
      </c>
      <c r="AT41" s="149"/>
      <c r="AU41" s="165">
        <f>AC41+AG41+AL41+AQ41-AR41</f>
        <v>0</v>
      </c>
    </row>
    <row r="42" spans="3:50" s="137" customFormat="1" ht="51" customHeight="1">
      <c r="C42" s="207" t="s">
        <v>515</v>
      </c>
      <c r="D42" s="130" t="str">
        <f>D$35</f>
        <v>тыс.руб.</v>
      </c>
      <c r="E42" s="216">
        <f>E35-E36</f>
        <v>4080</v>
      </c>
      <c r="F42" s="217">
        <f>E42/12</f>
        <v>340</v>
      </c>
      <c r="G42" s="190" t="e">
        <f>12*H42</f>
        <v>#DIV/0!</v>
      </c>
      <c r="H42" s="190" t="e">
        <f>V53/1000</f>
        <v>#DIV/0!</v>
      </c>
      <c r="I42" s="141" t="s">
        <v>516</v>
      </c>
      <c r="J42" s="784"/>
      <c r="L42" s="785" t="s">
        <v>517</v>
      </c>
      <c r="M42" s="786"/>
      <c r="N42" s="786"/>
      <c r="O42" s="787"/>
      <c r="P42" s="218">
        <f>R34</f>
        <v>0.6</v>
      </c>
      <c r="Q42" s="202"/>
      <c r="R42" s="202"/>
      <c r="S42" s="203"/>
      <c r="T42" s="219" t="e">
        <f>T40*$P$42</f>
        <v>#DIV/0!</v>
      </c>
      <c r="U42" s="219" t="e">
        <f>U40*$P$42</f>
        <v>#DIV/0!</v>
      </c>
      <c r="V42" s="219" t="e">
        <f aca="true" t="shared" si="4" ref="V42:V49">T42+U42</f>
        <v>#DIV/0!</v>
      </c>
      <c r="W42" s="212"/>
      <c r="X42" s="193" t="e">
        <f aca="true" t="shared" si="5" ref="X42:X48">T42+U42+W42</f>
        <v>#DIV/0!</v>
      </c>
      <c r="Y42" s="220" t="s">
        <v>518</v>
      </c>
      <c r="Z42" s="221" t="e">
        <f>Z41/$G51</f>
        <v>#DIV/0!</v>
      </c>
      <c r="AA42" s="221" t="e">
        <f>AA41/$G51</f>
        <v>#DIV/0!</v>
      </c>
      <c r="AB42" s="221" t="e">
        <f>AB41/$G51</f>
        <v>#DIV/0!</v>
      </c>
      <c r="AC42" s="161" t="e">
        <f>SUM(Z42:AB42)</f>
        <v>#DIV/0!</v>
      </c>
      <c r="AD42" s="221" t="e">
        <f>AD41/$G51</f>
        <v>#DIV/0!</v>
      </c>
      <c r="AE42" s="221" t="e">
        <f>AE41/$G51</f>
        <v>#DIV/0!</v>
      </c>
      <c r="AF42" s="221" t="e">
        <f>AF41/$G51</f>
        <v>#DIV/0!</v>
      </c>
      <c r="AG42" s="161" t="e">
        <f>SUM(AD42:AF42)</f>
        <v>#DIV/0!</v>
      </c>
      <c r="AH42" s="161" t="e">
        <f>AC42+AG42</f>
        <v>#DIV/0!</v>
      </c>
      <c r="AI42" s="221" t="e">
        <f>AI41/$G51</f>
        <v>#DIV/0!</v>
      </c>
      <c r="AJ42" s="221" t="e">
        <f>AJ41/$G51</f>
        <v>#DIV/0!</v>
      </c>
      <c r="AK42" s="221" t="e">
        <f>AK41/$G51</f>
        <v>#DIV/0!</v>
      </c>
      <c r="AL42" s="161" t="e">
        <f>SUM(AI42:AK42)</f>
        <v>#DIV/0!</v>
      </c>
      <c r="AM42" s="161" t="e">
        <f>AH42+AL42</f>
        <v>#DIV/0!</v>
      </c>
      <c r="AN42" s="221" t="e">
        <f>AN41/$G51</f>
        <v>#DIV/0!</v>
      </c>
      <c r="AO42" s="221" t="e">
        <f>AO41/$G51</f>
        <v>#DIV/0!</v>
      </c>
      <c r="AP42" s="221" t="e">
        <f>AP41/$G51</f>
        <v>#DIV/0!</v>
      </c>
      <c r="AQ42" s="161" t="e">
        <f>SUM(AN42:AP42)</f>
        <v>#DIV/0!</v>
      </c>
      <c r="AR42" s="451" t="e">
        <f>AR41/$G51</f>
        <v>#DIV/0!</v>
      </c>
      <c r="AS42" s="222" t="e">
        <f>AM42+AP42-AR42</f>
        <v>#DIV/0!</v>
      </c>
      <c r="AT42" s="149"/>
      <c r="AU42" s="165" t="e">
        <f>AC42+AG42+AL42+AQ42-AR42</f>
        <v>#DIV/0!</v>
      </c>
      <c r="AV42" s="443" t="s">
        <v>519</v>
      </c>
      <c r="AW42" s="794" t="s">
        <v>522</v>
      </c>
      <c r="AX42" s="795"/>
    </row>
    <row r="43" spans="3:47" s="137" customFormat="1" ht="56.25" customHeight="1">
      <c r="C43" s="150" t="s">
        <v>523</v>
      </c>
      <c r="D43" s="130"/>
      <c r="E43" s="223"/>
      <c r="F43" s="139"/>
      <c r="G43" s="190" t="e">
        <f>G45/(100-G44)*100</f>
        <v>#DIV/0!</v>
      </c>
      <c r="H43" s="190" t="e">
        <f>G43</f>
        <v>#DIV/0!</v>
      </c>
      <c r="I43" s="167" t="e">
        <f>G43/E43*100</f>
        <v>#DIV/0!</v>
      </c>
      <c r="J43" s="224" t="e">
        <f>IF((G43-E43)&gt;0,(G43-E43)*12*E49/1000,0)</f>
        <v>#DIV/0!</v>
      </c>
      <c r="L43" s="785" t="s">
        <v>524</v>
      </c>
      <c r="M43" s="786"/>
      <c r="N43" s="786"/>
      <c r="O43" s="787"/>
      <c r="P43" s="225">
        <v>0.6</v>
      </c>
      <c r="Q43" s="178"/>
      <c r="R43" s="178"/>
      <c r="S43" s="199"/>
      <c r="T43" s="180" t="e">
        <f>IF($P$42=0,0,IF($P$42&lt;60%,60%*T40,T42))</f>
        <v>#DIV/0!</v>
      </c>
      <c r="U43" s="180" t="e">
        <f>IF($P$42=0,0,IF($P$42&lt;60%,60%*U40,U42))</f>
        <v>#DIV/0!</v>
      </c>
      <c r="V43" s="180" t="e">
        <f t="shared" si="4"/>
        <v>#DIV/0!</v>
      </c>
      <c r="W43" s="204"/>
      <c r="X43" s="180" t="e">
        <f t="shared" si="5"/>
        <v>#DIV/0!</v>
      </c>
      <c r="Y43" s="184" t="s">
        <v>525</v>
      </c>
      <c r="Z43" s="194">
        <f>$AR43/12</f>
        <v>0</v>
      </c>
      <c r="AA43" s="194">
        <f>$AR43/12</f>
        <v>0</v>
      </c>
      <c r="AB43" s="194">
        <f>$AR43/12</f>
        <v>0</v>
      </c>
      <c r="AC43" s="161">
        <f>SUM(Z43:AB43)</f>
        <v>0</v>
      </c>
      <c r="AD43" s="194">
        <f>$AR43/12</f>
        <v>0</v>
      </c>
      <c r="AE43" s="194">
        <f>$AR43/12</f>
        <v>0</v>
      </c>
      <c r="AF43" s="194">
        <f>$AR43/12</f>
        <v>0</v>
      </c>
      <c r="AG43" s="162">
        <f>SUM(AD43:AF43)</f>
        <v>0</v>
      </c>
      <c r="AH43" s="161">
        <f>AC43+AG43</f>
        <v>0</v>
      </c>
      <c r="AI43" s="194">
        <f>$AR43/12</f>
        <v>0</v>
      </c>
      <c r="AJ43" s="194">
        <f>$AR43/12</f>
        <v>0</v>
      </c>
      <c r="AK43" s="194">
        <f>$AR43/12</f>
        <v>0</v>
      </c>
      <c r="AL43" s="162">
        <f>SUM(AI43:AK43)</f>
        <v>0</v>
      </c>
      <c r="AM43" s="161">
        <f>AH43+AL43</f>
        <v>0</v>
      </c>
      <c r="AN43" s="194">
        <f>$AR43/12</f>
        <v>0</v>
      </c>
      <c r="AO43" s="194">
        <f>$AR43/12</f>
        <v>0</v>
      </c>
      <c r="AP43" s="194">
        <f>$AR43/12</f>
        <v>0</v>
      </c>
      <c r="AQ43" s="161">
        <f>SUM(AN43:AP43)</f>
        <v>0</v>
      </c>
      <c r="AR43" s="163">
        <f>T39*12/1000</f>
        <v>0</v>
      </c>
      <c r="AS43" s="186">
        <f>AQ43+AM43-AR43</f>
        <v>0</v>
      </c>
      <c r="AT43" s="164" t="e">
        <f>AR43/AR42*1000</f>
        <v>#DIV/0!</v>
      </c>
      <c r="AU43" s="165">
        <f>AC43+AG43+AL43+AQ43-AR43</f>
        <v>0</v>
      </c>
    </row>
    <row r="44" spans="3:47" s="137" customFormat="1" ht="49.5" customHeight="1">
      <c r="C44" s="207" t="s">
        <v>526</v>
      </c>
      <c r="D44" s="130"/>
      <c r="E44" s="226"/>
      <c r="F44" s="139"/>
      <c r="G44" s="176" t="e">
        <f>G34/G42*100</f>
        <v>#DIV/0!</v>
      </c>
      <c r="H44" s="188"/>
      <c r="I44" s="124"/>
      <c r="L44" s="785" t="s">
        <v>527</v>
      </c>
      <c r="M44" s="786"/>
      <c r="N44" s="786"/>
      <c r="O44" s="787"/>
      <c r="P44" s="209">
        <f>P40-P42-P47-P46-P45</f>
        <v>-0.06999999999999995</v>
      </c>
      <c r="Q44" s="202"/>
      <c r="R44" s="202"/>
      <c r="S44" s="203"/>
      <c r="T44" s="227" t="e">
        <f>T40-T48-T46-T43-T45</f>
        <v>#DIV/0!</v>
      </c>
      <c r="U44" s="227" t="e">
        <f>U40-U48-U46-U43-U45</f>
        <v>#DIV/0!</v>
      </c>
      <c r="V44" s="227" t="e">
        <f t="shared" si="4"/>
        <v>#DIV/0!</v>
      </c>
      <c r="W44" s="228"/>
      <c r="X44" s="180" t="e">
        <f t="shared" si="5"/>
        <v>#DIV/0!</v>
      </c>
      <c r="Y44" s="229" t="s">
        <v>528</v>
      </c>
      <c r="Z44" s="230" t="e">
        <f aca="true" t="shared" si="6" ref="Z44:AR44">Z43/Z35*100</f>
        <v>#DIV/0!</v>
      </c>
      <c r="AA44" s="230" t="e">
        <f t="shared" si="6"/>
        <v>#DIV/0!</v>
      </c>
      <c r="AB44" s="230" t="e">
        <f t="shared" si="6"/>
        <v>#DIV/0!</v>
      </c>
      <c r="AC44" s="231" t="e">
        <f t="shared" si="6"/>
        <v>#DIV/0!</v>
      </c>
      <c r="AD44" s="230" t="e">
        <f t="shared" si="6"/>
        <v>#DIV/0!</v>
      </c>
      <c r="AE44" s="230" t="e">
        <f t="shared" si="6"/>
        <v>#DIV/0!</v>
      </c>
      <c r="AF44" s="230" t="e">
        <f t="shared" si="6"/>
        <v>#DIV/0!</v>
      </c>
      <c r="AG44" s="232" t="e">
        <f t="shared" si="6"/>
        <v>#DIV/0!</v>
      </c>
      <c r="AH44" s="233" t="e">
        <f t="shared" si="6"/>
        <v>#DIV/0!</v>
      </c>
      <c r="AI44" s="230" t="e">
        <f t="shared" si="6"/>
        <v>#DIV/0!</v>
      </c>
      <c r="AJ44" s="230" t="e">
        <f t="shared" si="6"/>
        <v>#DIV/0!</v>
      </c>
      <c r="AK44" s="230" t="e">
        <f t="shared" si="6"/>
        <v>#DIV/0!</v>
      </c>
      <c r="AL44" s="232" t="e">
        <f t="shared" si="6"/>
        <v>#DIV/0!</v>
      </c>
      <c r="AM44" s="233" t="e">
        <f t="shared" si="6"/>
        <v>#DIV/0!</v>
      </c>
      <c r="AN44" s="230" t="e">
        <f t="shared" si="6"/>
        <v>#DIV/0!</v>
      </c>
      <c r="AO44" s="230" t="e">
        <f t="shared" si="6"/>
        <v>#DIV/0!</v>
      </c>
      <c r="AP44" s="230" t="e">
        <f t="shared" si="6"/>
        <v>#DIV/0!</v>
      </c>
      <c r="AQ44" s="231" t="e">
        <f t="shared" si="6"/>
        <v>#DIV/0!</v>
      </c>
      <c r="AR44" s="452" t="e">
        <f t="shared" si="6"/>
        <v>#DIV/0!</v>
      </c>
      <c r="AS44" s="234"/>
      <c r="AT44" s="235"/>
      <c r="AU44" s="236"/>
    </row>
    <row r="45" spans="3:47" s="137" customFormat="1" ht="91.5" customHeight="1">
      <c r="C45" s="130" t="s">
        <v>529</v>
      </c>
      <c r="D45" s="130" t="s">
        <v>530</v>
      </c>
      <c r="E45" s="216"/>
      <c r="F45" s="131">
        <f>E45</f>
        <v>0</v>
      </c>
      <c r="G45" s="237" t="e">
        <f>R58</f>
        <v>#DIV/0!</v>
      </c>
      <c r="H45" s="237" t="e">
        <f aca="true" t="shared" si="7" ref="H45:H53">G45</f>
        <v>#DIV/0!</v>
      </c>
      <c r="I45" s="167" t="e">
        <f>G45/E45*100</f>
        <v>#DIV/0!</v>
      </c>
      <c r="L45" s="785" t="s">
        <v>531</v>
      </c>
      <c r="M45" s="786"/>
      <c r="N45" s="786"/>
      <c r="O45" s="787"/>
      <c r="P45" s="225">
        <v>0.12</v>
      </c>
      <c r="Q45" s="178"/>
      <c r="R45" s="178"/>
      <c r="S45" s="199"/>
      <c r="T45" s="180" t="e">
        <f>IF(T40&lt;S34,T40,S34)</f>
        <v>#DIV/0!</v>
      </c>
      <c r="U45" s="180" t="e">
        <f>IF(U40&lt;T34,U40,T34)</f>
        <v>#DIV/0!</v>
      </c>
      <c r="V45" s="193" t="e">
        <f t="shared" si="4"/>
        <v>#DIV/0!</v>
      </c>
      <c r="W45" s="178"/>
      <c r="X45" s="183" t="e">
        <f t="shared" si="5"/>
        <v>#DIV/0!</v>
      </c>
      <c r="Y45" s="143" t="s">
        <v>532</v>
      </c>
      <c r="Z45" s="238" t="e">
        <f>$AR43/$AR42*Z42</f>
        <v>#DIV/0!</v>
      </c>
      <c r="AA45" s="238" t="e">
        <f aca="true" t="shared" si="8" ref="AA45:AR45">$AR43/$AR42*AA42</f>
        <v>#DIV/0!</v>
      </c>
      <c r="AB45" s="238" t="e">
        <f t="shared" si="8"/>
        <v>#DIV/0!</v>
      </c>
      <c r="AC45" s="238" t="e">
        <f t="shared" si="8"/>
        <v>#DIV/0!</v>
      </c>
      <c r="AD45" s="238" t="e">
        <f t="shared" si="8"/>
        <v>#DIV/0!</v>
      </c>
      <c r="AE45" s="238" t="e">
        <f t="shared" si="8"/>
        <v>#DIV/0!</v>
      </c>
      <c r="AF45" s="238" t="e">
        <f t="shared" si="8"/>
        <v>#DIV/0!</v>
      </c>
      <c r="AG45" s="238" t="e">
        <f t="shared" si="8"/>
        <v>#DIV/0!</v>
      </c>
      <c r="AH45" s="238" t="e">
        <f t="shared" si="8"/>
        <v>#DIV/0!</v>
      </c>
      <c r="AI45" s="238" t="e">
        <f t="shared" si="8"/>
        <v>#DIV/0!</v>
      </c>
      <c r="AJ45" s="238" t="e">
        <f t="shared" si="8"/>
        <v>#DIV/0!</v>
      </c>
      <c r="AK45" s="238" t="e">
        <f t="shared" si="8"/>
        <v>#DIV/0!</v>
      </c>
      <c r="AL45" s="238" t="e">
        <f t="shared" si="8"/>
        <v>#DIV/0!</v>
      </c>
      <c r="AM45" s="238" t="e">
        <f t="shared" si="8"/>
        <v>#DIV/0!</v>
      </c>
      <c r="AN45" s="238" t="e">
        <f t="shared" si="8"/>
        <v>#DIV/0!</v>
      </c>
      <c r="AO45" s="238" t="e">
        <f t="shared" si="8"/>
        <v>#DIV/0!</v>
      </c>
      <c r="AP45" s="238" t="e">
        <f t="shared" si="8"/>
        <v>#DIV/0!</v>
      </c>
      <c r="AQ45" s="238" t="e">
        <f t="shared" si="8"/>
        <v>#DIV/0!</v>
      </c>
      <c r="AR45" s="239" t="e">
        <f t="shared" si="8"/>
        <v>#DIV/0!</v>
      </c>
      <c r="AS45" s="238" t="e">
        <f>AC45+AG45+AL45+AQ45-AR45</f>
        <v>#DIV/0!</v>
      </c>
      <c r="AT45" s="240" t="e">
        <f>AR45/AR42*1000</f>
        <v>#DIV/0!</v>
      </c>
      <c r="AU45" s="144"/>
    </row>
    <row r="46" spans="3:47" s="137" customFormat="1" ht="38.25" customHeight="1">
      <c r="C46" s="130" t="s">
        <v>533</v>
      </c>
      <c r="D46" s="130" t="s">
        <v>534</v>
      </c>
      <c r="E46" s="241">
        <v>84</v>
      </c>
      <c r="F46" s="131">
        <f>E46</f>
        <v>84</v>
      </c>
      <c r="G46" s="152" t="e">
        <f>U53/V53*100</f>
        <v>#DIV/0!</v>
      </c>
      <c r="H46" s="152" t="e">
        <f t="shared" si="7"/>
        <v>#DIV/0!</v>
      </c>
      <c r="I46" s="167"/>
      <c r="L46" s="785" t="s">
        <v>535</v>
      </c>
      <c r="M46" s="786"/>
      <c r="N46" s="786"/>
      <c r="O46" s="787"/>
      <c r="P46" s="225">
        <v>0.3</v>
      </c>
      <c r="Q46" s="178"/>
      <c r="R46" s="178"/>
      <c r="S46" s="199"/>
      <c r="T46" s="180">
        <f>U34</f>
        <v>0</v>
      </c>
      <c r="U46" s="180">
        <f>V34</f>
        <v>0</v>
      </c>
      <c r="V46" s="183">
        <f t="shared" si="4"/>
        <v>0</v>
      </c>
      <c r="W46" s="178"/>
      <c r="X46" s="183">
        <f t="shared" si="5"/>
        <v>0</v>
      </c>
      <c r="Y46" s="184" t="s">
        <v>536</v>
      </c>
      <c r="Z46" s="194" t="e">
        <f>Z49+Z52+Z54+Z56+Z58</f>
        <v>#DIV/0!</v>
      </c>
      <c r="AA46" s="194" t="e">
        <f>AA49+AA52+AA54+AA56+AA58</f>
        <v>#DIV/0!</v>
      </c>
      <c r="AB46" s="194" t="e">
        <f>AB49+AB52+AB54+AB56+AB58</f>
        <v>#DIV/0!</v>
      </c>
      <c r="AC46" s="161" t="e">
        <f>SUM(Z46:AB46)</f>
        <v>#DIV/0!</v>
      </c>
      <c r="AD46" s="194" t="e">
        <f>AD49+AD52+AD54+AD56+AD58</f>
        <v>#DIV/0!</v>
      </c>
      <c r="AE46" s="194" t="e">
        <f>AE49+AE52+AE54+AE56+AE58</f>
        <v>#DIV/0!</v>
      </c>
      <c r="AF46" s="194" t="e">
        <f>AF49+AF52+AF54+AF56+AF58</f>
        <v>#DIV/0!</v>
      </c>
      <c r="AG46" s="162" t="e">
        <f>SUM(AD46:AF46)</f>
        <v>#DIV/0!</v>
      </c>
      <c r="AH46" s="161" t="e">
        <f>AC46+AG46</f>
        <v>#DIV/0!</v>
      </c>
      <c r="AI46" s="194" t="e">
        <f>AI49+AI52+AI54+AI56+AI58</f>
        <v>#DIV/0!</v>
      </c>
      <c r="AJ46" s="194" t="e">
        <f>AJ49+AJ52+AJ54+AJ56+AJ58</f>
        <v>#DIV/0!</v>
      </c>
      <c r="AK46" s="194" t="e">
        <f>AK49+AK52+AK54+AK56+AK58</f>
        <v>#DIV/0!</v>
      </c>
      <c r="AL46" s="162" t="e">
        <f>SUM(AI46:AK46)</f>
        <v>#DIV/0!</v>
      </c>
      <c r="AM46" s="161" t="e">
        <f>AH46+AL46</f>
        <v>#DIV/0!</v>
      </c>
      <c r="AN46" s="194" t="e">
        <f>AN49+AN52+AN54+AN56+AN58</f>
        <v>#DIV/0!</v>
      </c>
      <c r="AO46" s="194" t="e">
        <f>AO49+AO52+AO54+AO56+AO58</f>
        <v>#DIV/0!</v>
      </c>
      <c r="AP46" s="194" t="e">
        <f>AP49+AP52+AP54+AP56+AP58</f>
        <v>#DIV/0!</v>
      </c>
      <c r="AQ46" s="161" t="e">
        <f>SUM(AN46:AP46)</f>
        <v>#DIV/0!</v>
      </c>
      <c r="AR46" s="163" t="e">
        <f>AR35-AR38-AR43</f>
        <v>#DIV/0!</v>
      </c>
      <c r="AS46" s="242" t="e">
        <f>AQ46+AM46-AR46</f>
        <v>#DIV/0!</v>
      </c>
      <c r="AT46" s="164" t="e">
        <f>AR46/(AR$34-AR$42)*1000</f>
        <v>#DIV/0!</v>
      </c>
      <c r="AU46" s="165" t="e">
        <f>AC46+AG46+AL46+AQ46-AR46</f>
        <v>#DIV/0!</v>
      </c>
    </row>
    <row r="47" spans="3:47" s="137" customFormat="1" ht="49.5" customHeight="1">
      <c r="C47" s="130" t="s">
        <v>537</v>
      </c>
      <c r="D47" s="130" t="s">
        <v>530</v>
      </c>
      <c r="E47" s="223">
        <v>3426100</v>
      </c>
      <c r="F47" s="131">
        <f aca="true" t="shared" si="9" ref="F47:F54">E47</f>
        <v>3426100</v>
      </c>
      <c r="G47" s="237" t="e">
        <f>S58</f>
        <v>#DIV/0!</v>
      </c>
      <c r="H47" s="237" t="e">
        <f t="shared" si="7"/>
        <v>#DIV/0!</v>
      </c>
      <c r="I47" s="167" t="e">
        <f>G47/E47*100</f>
        <v>#DIV/0!</v>
      </c>
      <c r="L47" s="785" t="s">
        <v>538</v>
      </c>
      <c r="M47" s="786"/>
      <c r="N47" s="786"/>
      <c r="O47" s="787"/>
      <c r="P47" s="243">
        <f>W34</f>
        <v>0.05</v>
      </c>
      <c r="Q47" s="244"/>
      <c r="R47" s="244"/>
      <c r="S47" s="245"/>
      <c r="T47" s="219" t="e">
        <f>T40*$P$47</f>
        <v>#DIV/0!</v>
      </c>
      <c r="U47" s="219" t="e">
        <f>U40*$P$47</f>
        <v>#DIV/0!</v>
      </c>
      <c r="V47" s="219" t="e">
        <f t="shared" si="4"/>
        <v>#DIV/0!</v>
      </c>
      <c r="W47" s="212"/>
      <c r="X47" s="219" t="e">
        <f t="shared" si="5"/>
        <v>#DIV/0!</v>
      </c>
      <c r="Y47" s="184" t="s">
        <v>539</v>
      </c>
      <c r="Z47" s="194" t="e">
        <f>Z46/Z35*100</f>
        <v>#DIV/0!</v>
      </c>
      <c r="AA47" s="194" t="e">
        <f>AA46/AA35*100</f>
        <v>#DIV/0!</v>
      </c>
      <c r="AB47" s="194" t="e">
        <f>AB46/AB35*100</f>
        <v>#DIV/0!</v>
      </c>
      <c r="AC47" s="161"/>
      <c r="AD47" s="194" t="e">
        <f>AD46/AD35*100</f>
        <v>#DIV/0!</v>
      </c>
      <c r="AE47" s="194" t="e">
        <f>AE46/AE35*100</f>
        <v>#DIV/0!</v>
      </c>
      <c r="AF47" s="194" t="e">
        <f>AF46/AF35*100</f>
        <v>#DIV/0!</v>
      </c>
      <c r="AG47" s="162"/>
      <c r="AH47" s="161"/>
      <c r="AI47" s="194" t="e">
        <f>AI46/AI35*100</f>
        <v>#DIV/0!</v>
      </c>
      <c r="AJ47" s="194" t="e">
        <f>AJ46/AJ35*100</f>
        <v>#DIV/0!</v>
      </c>
      <c r="AK47" s="194" t="e">
        <f>AK46/AK35*100</f>
        <v>#DIV/0!</v>
      </c>
      <c r="AL47" s="162"/>
      <c r="AM47" s="161"/>
      <c r="AN47" s="194" t="e">
        <f>AN46/AN35*100</f>
        <v>#DIV/0!</v>
      </c>
      <c r="AO47" s="194" t="e">
        <f>AO46/AO35*100</f>
        <v>#DIV/0!</v>
      </c>
      <c r="AP47" s="194" t="e">
        <f>AP46/AP35*100</f>
        <v>#DIV/0!</v>
      </c>
      <c r="AQ47" s="161"/>
      <c r="AR47" s="163" t="e">
        <f>AR46/AR35*100</f>
        <v>#DIV/0!</v>
      </c>
      <c r="AS47" s="246"/>
      <c r="AT47" s="173" t="e">
        <f>AT46/AT35*100</f>
        <v>#DIV/0!</v>
      </c>
      <c r="AU47" s="165"/>
    </row>
    <row r="48" spans="3:54" s="137" customFormat="1" ht="144.75" customHeight="1">
      <c r="C48" s="130" t="s">
        <v>540</v>
      </c>
      <c r="D48" s="130" t="s">
        <v>438</v>
      </c>
      <c r="E48" s="123">
        <v>29</v>
      </c>
      <c r="F48" s="131">
        <f t="shared" si="9"/>
        <v>29</v>
      </c>
      <c r="G48" s="237" t="e">
        <f>G51+G54</f>
        <v>#DIV/0!</v>
      </c>
      <c r="H48" s="237" t="e">
        <f t="shared" si="7"/>
        <v>#DIV/0!</v>
      </c>
      <c r="I48" s="247" t="e">
        <f>G48-E48</f>
        <v>#DIV/0!</v>
      </c>
      <c r="J48" s="444" t="s">
        <v>541</v>
      </c>
      <c r="L48" s="785" t="s">
        <v>542</v>
      </c>
      <c r="M48" s="786"/>
      <c r="N48" s="786"/>
      <c r="O48" s="787"/>
      <c r="P48" s="248">
        <v>0.05</v>
      </c>
      <c r="Q48" s="249"/>
      <c r="R48" s="249"/>
      <c r="S48" s="250"/>
      <c r="T48" s="251" t="e">
        <f>IF($P$47&gt;5%,5%*T40,T47)</f>
        <v>#DIV/0!</v>
      </c>
      <c r="U48" s="251" t="e">
        <f>IF($P$47&gt;5%,5%*U40,U47)</f>
        <v>#DIV/0!</v>
      </c>
      <c r="V48" s="251" t="e">
        <f t="shared" si="4"/>
        <v>#DIV/0!</v>
      </c>
      <c r="W48" s="249"/>
      <c r="X48" s="251" t="e">
        <f t="shared" si="5"/>
        <v>#DIV/0!</v>
      </c>
      <c r="Y48" s="252" t="s">
        <v>543</v>
      </c>
      <c r="Z48" s="253" t="e">
        <f>AI$34-AI40/$G$51</f>
        <v>#DIV/0!</v>
      </c>
      <c r="AA48" s="254" t="e">
        <f>AJ$34-AJ40/$G$51</f>
        <v>#DIV/0!</v>
      </c>
      <c r="AB48" s="254" t="e">
        <f>AK$34-AK40/$G$51</f>
        <v>#DIV/0!</v>
      </c>
      <c r="AC48" s="255" t="e">
        <f>SUM(Z48:AB48)</f>
        <v>#DIV/0!</v>
      </c>
      <c r="AD48" s="254" t="e">
        <f>AN$34-AN40/$G$51</f>
        <v>#DIV/0!</v>
      </c>
      <c r="AE48" s="254" t="e">
        <f>AO$34-AO40/$G$51</f>
        <v>#DIV/0!</v>
      </c>
      <c r="AF48" s="254" t="e">
        <f>AP$34-AP40/$G$51</f>
        <v>#DIV/0!</v>
      </c>
      <c r="AG48" s="256" t="e">
        <f>SUM(AD48:AF48)</f>
        <v>#DIV/0!</v>
      </c>
      <c r="AH48" s="255" t="e">
        <f>AC48+AG48</f>
        <v>#DIV/0!</v>
      </c>
      <c r="AI48" s="254" t="e">
        <f>Z$34-Z40/$G$51</f>
        <v>#DIV/0!</v>
      </c>
      <c r="AJ48" s="254" t="e">
        <f>AA$34-AA40/$G$51</f>
        <v>#DIV/0!</v>
      </c>
      <c r="AK48" s="254" t="e">
        <f>AB$34-AB40/$G$51</f>
        <v>#DIV/0!</v>
      </c>
      <c r="AL48" s="256" t="e">
        <f>SUM(AI48:AK48)</f>
        <v>#DIV/0!</v>
      </c>
      <c r="AM48" s="255" t="e">
        <f>AH48+AL48</f>
        <v>#DIV/0!</v>
      </c>
      <c r="AN48" s="257" t="e">
        <f>AD$34-AD40/$G$51</f>
        <v>#DIV/0!</v>
      </c>
      <c r="AO48" s="257" t="e">
        <f>AE$34-AE40/$G$51</f>
        <v>#DIV/0!</v>
      </c>
      <c r="AP48" s="254" t="e">
        <f>AF$34-AF40/$G$51</f>
        <v>#DIV/0!</v>
      </c>
      <c r="AQ48" s="161" t="e">
        <f>SUM(AN48:AP48)</f>
        <v>#DIV/0!</v>
      </c>
      <c r="AR48" s="163" t="e">
        <f>AR34-AR42</f>
        <v>#DIV/0!</v>
      </c>
      <c r="AS48" s="258" t="e">
        <f>AR48-AH48-AL48-AQ48</f>
        <v>#DIV/0!</v>
      </c>
      <c r="AT48" s="160"/>
      <c r="AU48" s="165" t="e">
        <f>AC48+AG48+AL48+AQ48-AR48</f>
        <v>#DIV/0!</v>
      </c>
      <c r="AV48" s="443" t="s">
        <v>544</v>
      </c>
      <c r="AW48" s="815" t="s">
        <v>545</v>
      </c>
      <c r="AX48" s="816"/>
      <c r="AY48" s="816"/>
      <c r="AZ48" s="815" t="s">
        <v>546</v>
      </c>
      <c r="BA48" s="816"/>
      <c r="BB48" s="444" t="s">
        <v>547</v>
      </c>
    </row>
    <row r="49" spans="3:47" s="137" customFormat="1" ht="93.75" customHeight="1">
      <c r="C49" s="130" t="s">
        <v>548</v>
      </c>
      <c r="D49" s="130" t="s">
        <v>438</v>
      </c>
      <c r="E49" s="259"/>
      <c r="F49" s="131">
        <f t="shared" si="9"/>
        <v>0</v>
      </c>
      <c r="G49" s="190" t="e">
        <f>E32</f>
        <v>#DIV/0!</v>
      </c>
      <c r="H49" s="237" t="e">
        <f t="shared" si="7"/>
        <v>#DIV/0!</v>
      </c>
      <c r="I49" s="247" t="e">
        <f>G49-E49</f>
        <v>#DIV/0!</v>
      </c>
      <c r="J49" s="444" t="s">
        <v>549</v>
      </c>
      <c r="L49" s="785" t="s">
        <v>550</v>
      </c>
      <c r="M49" s="786"/>
      <c r="N49" s="786"/>
      <c r="O49" s="787"/>
      <c r="P49" s="260"/>
      <c r="Q49" s="260"/>
      <c r="R49" s="261" t="e">
        <f>E32*E45</f>
        <v>#DIV/0!</v>
      </c>
      <c r="S49" s="193">
        <f>E50*E47</f>
        <v>0</v>
      </c>
      <c r="T49" s="171" t="e">
        <f>R49+S49</f>
        <v>#DIV/0!</v>
      </c>
      <c r="U49" s="193" t="e">
        <f>X49-T49</f>
        <v>#DIV/0!</v>
      </c>
      <c r="V49" s="193" t="e">
        <f t="shared" si="4"/>
        <v>#DIV/0!</v>
      </c>
      <c r="W49" s="180" t="e">
        <f>X49-T49-U49</f>
        <v>#DIV/0!</v>
      </c>
      <c r="X49" s="193">
        <f>F42*1000</f>
        <v>340000</v>
      </c>
      <c r="Y49" s="184" t="s">
        <v>551</v>
      </c>
      <c r="Z49" s="262" t="e">
        <f>IF(Z$48&lt;0,0,($AT49*Z$48)/1000)</f>
        <v>#DIV/0!</v>
      </c>
      <c r="AA49" s="262" t="e">
        <f>IF(AA$48&lt;0,0,($AT49*AA$48)/1000)</f>
        <v>#DIV/0!</v>
      </c>
      <c r="AB49" s="262" t="e">
        <f>IF(AB$48&lt;0,0,($AT49*AB$48)/1000)</f>
        <v>#DIV/0!</v>
      </c>
      <c r="AC49" s="161" t="e">
        <f>SUM(Z49:AB49)</f>
        <v>#DIV/0!</v>
      </c>
      <c r="AD49" s="262" t="e">
        <f>IF(AD$48&lt;0,0,($AT49*AD$48)/1000)</f>
        <v>#DIV/0!</v>
      </c>
      <c r="AE49" s="262" t="e">
        <f>IF(AE$48&lt;0,0,($AT49*AE$48)/1000)</f>
        <v>#DIV/0!</v>
      </c>
      <c r="AF49" s="262" t="e">
        <f>IF(AF$48&lt;0,0,($AT49*AF$48)/1000)</f>
        <v>#DIV/0!</v>
      </c>
      <c r="AG49" s="162" t="e">
        <f>SUM(AD49:AF49)</f>
        <v>#DIV/0!</v>
      </c>
      <c r="AH49" s="161" t="e">
        <f>AC49+AG49</f>
        <v>#DIV/0!</v>
      </c>
      <c r="AI49" s="262" t="e">
        <f>IF(AI$48&lt;0,0,($AT49*AI$48)/1000)</f>
        <v>#DIV/0!</v>
      </c>
      <c r="AJ49" s="262" t="e">
        <f>IF(AJ$48&lt;0,0,($AT49*AJ$48)/1000)</f>
        <v>#DIV/0!</v>
      </c>
      <c r="AK49" s="262" t="e">
        <f>IF(AK$48&lt;0,0,($AT49*AK$48)/1000)</f>
        <v>#DIV/0!</v>
      </c>
      <c r="AL49" s="162" t="e">
        <f>SUM(AI49:AK49)</f>
        <v>#DIV/0!</v>
      </c>
      <c r="AM49" s="161" t="e">
        <f>AH49+AL49</f>
        <v>#DIV/0!</v>
      </c>
      <c r="AN49" s="262" t="e">
        <f>IF(AN$48&lt;0,0,($AT49*AN$48)/1000)</f>
        <v>#DIV/0!</v>
      </c>
      <c r="AO49" s="262" t="e">
        <f>IF(AO$48&lt;0,0,($AT49*AO$48)/1000)</f>
        <v>#DIV/0!</v>
      </c>
      <c r="AP49" s="262" t="e">
        <f>IF(AP$48&lt;0,0,($AT49*AP$48)/1000)</f>
        <v>#DIV/0!</v>
      </c>
      <c r="AQ49" s="161" t="e">
        <f>SUM(AN49:AP49)</f>
        <v>#DIV/0!</v>
      </c>
      <c r="AR49" s="453" t="e">
        <f>AR46-AR52-AR54-AR56-AR58</f>
        <v>#DIV/0!</v>
      </c>
      <c r="AS49" s="186" t="e">
        <f>AQ49+AM49-AR49</f>
        <v>#DIV/0!</v>
      </c>
      <c r="AT49" s="263" t="e">
        <f>AR49/AR48*1000</f>
        <v>#DIV/0!</v>
      </c>
      <c r="AU49" s="165" t="e">
        <f>AC49+AG49+AL49+AQ49-AR49</f>
        <v>#DIV/0!</v>
      </c>
    </row>
    <row r="50" spans="3:47" s="137" customFormat="1" ht="42" customHeight="1">
      <c r="C50" s="130" t="s">
        <v>552</v>
      </c>
      <c r="D50" s="130" t="s">
        <v>438</v>
      </c>
      <c r="E50" s="259"/>
      <c r="F50" s="131">
        <f t="shared" si="9"/>
        <v>0</v>
      </c>
      <c r="G50" s="188">
        <f>E50</f>
        <v>0</v>
      </c>
      <c r="H50" s="237">
        <f t="shared" si="7"/>
        <v>0</v>
      </c>
      <c r="I50" s="124"/>
      <c r="L50" s="785" t="s">
        <v>553</v>
      </c>
      <c r="M50" s="786"/>
      <c r="N50" s="786"/>
      <c r="O50" s="787"/>
      <c r="P50" s="212"/>
      <c r="Q50" s="212"/>
      <c r="R50" s="264" t="e">
        <f>R49/E49</f>
        <v>#DIV/0!</v>
      </c>
      <c r="S50" s="264" t="e">
        <f>S49/E50</f>
        <v>#DIV/0!</v>
      </c>
      <c r="T50" s="264" t="e">
        <f>T49/E51</f>
        <v>#DIV/0!</v>
      </c>
      <c r="U50" s="264" t="e">
        <f>U49/E52</f>
        <v>#DIV/0!</v>
      </c>
      <c r="V50" s="264" t="e">
        <f>V49/E48</f>
        <v>#DIV/0!</v>
      </c>
      <c r="W50" s="264" t="e">
        <f>W49/E48</f>
        <v>#DIV/0!</v>
      </c>
      <c r="X50" s="264">
        <f>X49/$E$48</f>
        <v>11724.137931034482</v>
      </c>
      <c r="Y50" s="184" t="s">
        <v>554</v>
      </c>
      <c r="Z50" s="194" t="e">
        <f>Z49/Z$46*100</f>
        <v>#DIV/0!</v>
      </c>
      <c r="AA50" s="194" t="e">
        <f>AA49/AA$46*100</f>
        <v>#DIV/0!</v>
      </c>
      <c r="AB50" s="194" t="e">
        <f>AB49/AB$46*100</f>
        <v>#DIV/0!</v>
      </c>
      <c r="AC50" s="161"/>
      <c r="AD50" s="194" t="e">
        <f>AD49/AD$46*100</f>
        <v>#DIV/0!</v>
      </c>
      <c r="AE50" s="194" t="e">
        <f>AE49/AE$46*100</f>
        <v>#DIV/0!</v>
      </c>
      <c r="AF50" s="194" t="e">
        <f>AF49/AF$46*100</f>
        <v>#DIV/0!</v>
      </c>
      <c r="AG50" s="162"/>
      <c r="AH50" s="147"/>
      <c r="AI50" s="194" t="e">
        <f>AI49/AI$46*100</f>
        <v>#DIV/0!</v>
      </c>
      <c r="AJ50" s="194" t="e">
        <f>AJ49/AJ$46*100</f>
        <v>#DIV/0!</v>
      </c>
      <c r="AK50" s="194" t="e">
        <f>AK49/AK$46*100</f>
        <v>#DIV/0!</v>
      </c>
      <c r="AL50" s="162"/>
      <c r="AM50" s="147"/>
      <c r="AN50" s="194" t="e">
        <f>AN49/AN$46*100</f>
        <v>#DIV/0!</v>
      </c>
      <c r="AO50" s="194" t="e">
        <f>AO49/AO$46*100</f>
        <v>#DIV/0!</v>
      </c>
      <c r="AP50" s="194" t="e">
        <f>AP49/AP$46*100</f>
        <v>#DIV/0!</v>
      </c>
      <c r="AQ50" s="161"/>
      <c r="AR50" s="163" t="e">
        <f>AR49/AR46*100</f>
        <v>#DIV/0!</v>
      </c>
      <c r="AS50" s="265"/>
      <c r="AT50" s="173" t="e">
        <f>AT49/AT$46*100</f>
        <v>#DIV/0!</v>
      </c>
      <c r="AU50" s="165"/>
    </row>
    <row r="51" spans="3:47" s="137" customFormat="1" ht="88.5" customHeight="1">
      <c r="C51" s="130" t="s">
        <v>555</v>
      </c>
      <c r="D51" s="130" t="s">
        <v>438</v>
      </c>
      <c r="E51" s="266">
        <f>E49+E50</f>
        <v>0</v>
      </c>
      <c r="F51" s="131">
        <f t="shared" si="9"/>
        <v>0</v>
      </c>
      <c r="G51" s="237" t="e">
        <f>G49+G50</f>
        <v>#DIV/0!</v>
      </c>
      <c r="H51" s="237" t="e">
        <f t="shared" si="7"/>
        <v>#DIV/0!</v>
      </c>
      <c r="I51" s="124"/>
      <c r="L51" s="785" t="s">
        <v>556</v>
      </c>
      <c r="M51" s="786"/>
      <c r="N51" s="786"/>
      <c r="O51" s="787"/>
      <c r="P51" s="212"/>
      <c r="Q51" s="212"/>
      <c r="R51" s="267" t="e">
        <f>R50/E45*100</f>
        <v>#DIV/0!</v>
      </c>
      <c r="S51" s="268" t="e">
        <f>S50/E47*100</f>
        <v>#DIV/0!</v>
      </c>
      <c r="T51" s="267" t="e">
        <f>(R51*R50/100+S51*S50/100)/(R50+S50)*100</f>
        <v>#DIV/0!</v>
      </c>
      <c r="U51" s="267" t="e">
        <f>U50/E47*100</f>
        <v>#DIV/0!</v>
      </c>
      <c r="V51" s="267" t="e">
        <f>(T51*T50/100+U51*U50/100)/(T50+U50)*100</f>
        <v>#DIV/0!</v>
      </c>
      <c r="W51" s="212"/>
      <c r="X51" s="213"/>
      <c r="Y51" s="454" t="s">
        <v>557</v>
      </c>
      <c r="Z51" s="455" t="e">
        <f>Z$34-Z40/$G$51</f>
        <v>#DIV/0!</v>
      </c>
      <c r="AA51" s="455" t="e">
        <f>AA$34-AA40/$G$51</f>
        <v>#DIV/0!</v>
      </c>
      <c r="AB51" s="455" t="e">
        <f>AB$34-AB40/$G$51</f>
        <v>#DIV/0!</v>
      </c>
      <c r="AC51" s="456" t="e">
        <f>SUM(Z51:AB51)</f>
        <v>#DIV/0!</v>
      </c>
      <c r="AD51" s="455" t="e">
        <f>AD$34-AD40/$G$51</f>
        <v>#DIV/0!</v>
      </c>
      <c r="AE51" s="455" t="e">
        <f>AE$34-AE40/$G$51</f>
        <v>#DIV/0!</v>
      </c>
      <c r="AF51" s="455" t="e">
        <f>AF$34-AF40/$G$51</f>
        <v>#DIV/0!</v>
      </c>
      <c r="AG51" s="455" t="e">
        <f aca="true" t="shared" si="10" ref="AG51:AR51">AG34-AG42</f>
        <v>#DIV/0!</v>
      </c>
      <c r="AH51" s="455" t="e">
        <f t="shared" si="10"/>
        <v>#DIV/0!</v>
      </c>
      <c r="AI51" s="455" t="e">
        <f>AI$34-AI40/$G$51</f>
        <v>#DIV/0!</v>
      </c>
      <c r="AJ51" s="455" t="e">
        <f>AJ$34-AJ40/$G$51</f>
        <v>#DIV/0!</v>
      </c>
      <c r="AK51" s="455" t="e">
        <f>AK$34-AK40/$G$51</f>
        <v>#DIV/0!</v>
      </c>
      <c r="AL51" s="455" t="e">
        <f t="shared" si="10"/>
        <v>#DIV/0!</v>
      </c>
      <c r="AM51" s="455" t="e">
        <f t="shared" si="10"/>
        <v>#DIV/0!</v>
      </c>
      <c r="AN51" s="455" t="e">
        <f>AN$34-AN40/$G$51</f>
        <v>#DIV/0!</v>
      </c>
      <c r="AO51" s="455" t="e">
        <f>AO$34-AO40/$G$51</f>
        <v>#DIV/0!</v>
      </c>
      <c r="AP51" s="455" t="e">
        <f>AP$34-AP40/$G$51</f>
        <v>#DIV/0!</v>
      </c>
      <c r="AQ51" s="455" t="e">
        <f t="shared" si="10"/>
        <v>#DIV/0!</v>
      </c>
      <c r="AR51" s="455" t="e">
        <f t="shared" si="10"/>
        <v>#DIV/0!</v>
      </c>
      <c r="AS51" s="144"/>
      <c r="AT51" s="144"/>
      <c r="AU51" s="144"/>
    </row>
    <row r="52" spans="3:47" s="137" customFormat="1" ht="78" customHeight="1">
      <c r="C52" s="130" t="s">
        <v>558</v>
      </c>
      <c r="D52" s="130" t="s">
        <v>438</v>
      </c>
      <c r="E52" s="259">
        <v>26</v>
      </c>
      <c r="F52" s="131">
        <f t="shared" si="9"/>
        <v>26</v>
      </c>
      <c r="G52" s="237" t="e">
        <f>U56</f>
        <v>#DIV/0!</v>
      </c>
      <c r="H52" s="237" t="e">
        <f t="shared" si="7"/>
        <v>#DIV/0!</v>
      </c>
      <c r="I52" s="269" t="e">
        <f>G52-E52</f>
        <v>#DIV/0!</v>
      </c>
      <c r="J52" s="444" t="s">
        <v>559</v>
      </c>
      <c r="L52" s="785" t="s">
        <v>560</v>
      </c>
      <c r="M52" s="786"/>
      <c r="N52" s="786"/>
      <c r="O52" s="787"/>
      <c r="P52" s="204"/>
      <c r="Q52" s="204"/>
      <c r="R52" s="171" t="e">
        <f>IF(W49&gt;0,IF(W49&gt;E49*E45,E45*E49+R49,R49+W49),R49)</f>
        <v>#DIV/0!</v>
      </c>
      <c r="S52" s="270" t="e">
        <f>IF(W49&gt;0,IF(W49&gt;E50*E47,E50*E47+S49,S49+W49),S49)</f>
        <v>#DIV/0!</v>
      </c>
      <c r="T52" s="193" t="e">
        <f>R52+S52</f>
        <v>#DIV/0!</v>
      </c>
      <c r="U52" s="168" t="e">
        <f>IF(U53&gt;U49,U49,U53)</f>
        <v>#DIV/0!</v>
      </c>
      <c r="V52" s="193" t="e">
        <f>T52+U52</f>
        <v>#DIV/0!</v>
      </c>
      <c r="W52" s="180" t="e">
        <f>X52-V52</f>
        <v>#DIV/0!</v>
      </c>
      <c r="X52" s="180">
        <f>X49</f>
        <v>340000</v>
      </c>
      <c r="Y52" s="184" t="s">
        <v>561</v>
      </c>
      <c r="Z52" s="185" t="e">
        <f>IF(Z$51&lt;0,0,$AT52*Z$51/1000)</f>
        <v>#DIV/0!</v>
      </c>
      <c r="AA52" s="185" t="e">
        <f>IF(AA$51&lt;0,0,$AT52*(SUM(Z$51:AA$51))/1000)-Z52</f>
        <v>#DIV/0!</v>
      </c>
      <c r="AB52" s="185" t="e">
        <f>IF(AB$51&lt;0,0,$AT52*SUM(Z$51:AB$51)/1000)-SUM(Z52:AA52)</f>
        <v>#DIV/0!</v>
      </c>
      <c r="AC52" s="161" t="e">
        <f>SUM(Z52:AB52)</f>
        <v>#DIV/0!</v>
      </c>
      <c r="AD52" s="185" t="e">
        <f>IF(AD$51&lt;0,0,($AT52*(SUM(Z$51:AB$51)+AD$51))/1000)-SUM(Z52:AB52)</f>
        <v>#DIV/0!</v>
      </c>
      <c r="AE52" s="185" t="e">
        <f>IF(AE$51&lt;0,0,($AT52*(SUM(Z$51:AB$51)+SUM(AD$51:AE$51))/1000)-SUM(Z52:AB52)-AD52)</f>
        <v>#DIV/0!</v>
      </c>
      <c r="AF52" s="185" t="e">
        <f>IF(AF$51&lt;0,0,($AT52*(SUM(Z$51:AB$51)+SUM(AD$51:AF$51))/1000)-SUM(Z52:AB52)-SUM(AD52:AE52))</f>
        <v>#DIV/0!</v>
      </c>
      <c r="AG52" s="162" t="e">
        <f>SUM(AD52:AF52)</f>
        <v>#DIV/0!</v>
      </c>
      <c r="AH52" s="161" t="e">
        <f>AC52+AG52</f>
        <v>#DIV/0!</v>
      </c>
      <c r="AI52" s="185" t="e">
        <f>IF(AI$51&lt;0,0,($AT52*(SUM(Z$51:AB$51)+SUM(AD$51:AF$51)+AI$51)/1000)-SUM(Z52:AB52)-SUM(AD52:AF52))</f>
        <v>#DIV/0!</v>
      </c>
      <c r="AJ52" s="185" t="e">
        <f>IF(AJ$51&lt;0,0,($AT52*(SUM(Z$51:AB$51)+SUM(AD$51:AF$51)+SUM(AI$51:AJ$51))/1000)-SUM(Z52:AB52)-SUM(AD52:AF52)-AI52)</f>
        <v>#DIV/0!</v>
      </c>
      <c r="AK52" s="185" t="e">
        <f>IF(AK$51&lt;0,0,($AT52*(SUM(Z$51:AB$51)+SUM(AD$51:AF$51)+SUM(AI$51:AK$51))/1000)-SUM(Z52:AB52)-SUM(AD52:AF52)-SUM(AI52:AJ52))</f>
        <v>#DIV/0!</v>
      </c>
      <c r="AL52" s="162" t="e">
        <f>SUM(AI52:AK52)</f>
        <v>#DIV/0!</v>
      </c>
      <c r="AM52" s="161" t="e">
        <f>AH52+AL52</f>
        <v>#DIV/0!</v>
      </c>
      <c r="AN52" s="185" t="e">
        <f>IF(AN$51&lt;0,0,($AT52*(SUM(Z$51:AB$51)+SUM(AD$51:AF$51)+SUM(AI$51:AK$51)+AN$51)/1000)-SUM(Z52:AB52)-SUM(AD52:AF52)-SUM(AI52:AK52))</f>
        <v>#DIV/0!</v>
      </c>
      <c r="AO52" s="185" t="e">
        <f>IF(AO$51&lt;0,0,($AT52*(SUM(Z$51:AB$51)+SUM(AD$51:AF$51)+SUM(AI$51:AK$51)+SUM(AN$51:AO$51))/1000)-SUM(Z52:AB52)-SUM(AD52:AF52)-SUM(AI52:AK52)-AN52)</f>
        <v>#DIV/0!</v>
      </c>
      <c r="AP52" s="185" t="e">
        <f>IF(AP$51&lt;0,0,($AT52*(SUM(Z$51:AB$51)+SUM(AD$51:AF$51)+SUM(AI$51:AK$51)+SUM(AN$51:AP$51))/1000)-SUM(Z52:AB52)-SUM(AD52:AF52)-SUM(AI52:AK52)-SUM(AN52:AO52))</f>
        <v>#DIV/0!</v>
      </c>
      <c r="AQ52" s="161" t="e">
        <f>SUM(AN52:AP52)</f>
        <v>#DIV/0!</v>
      </c>
      <c r="AR52" s="457" t="e">
        <f>T64*12/1000</f>
        <v>#DIV/0!</v>
      </c>
      <c r="AS52" s="186" t="e">
        <f>AQ52+AM52-AR52</f>
        <v>#DIV/0!</v>
      </c>
      <c r="AT52" s="164" t="e">
        <f>AR52/(AR$34-AR$42)*1000</f>
        <v>#DIV/0!</v>
      </c>
      <c r="AU52" s="165" t="e">
        <f>AC52+AG52+AL52+AQ52-AR52</f>
        <v>#DIV/0!</v>
      </c>
    </row>
    <row r="53" spans="3:47" s="137" customFormat="1" ht="57" customHeight="1">
      <c r="C53" s="130" t="s">
        <v>562</v>
      </c>
      <c r="D53" s="130" t="s">
        <v>438</v>
      </c>
      <c r="E53" s="259">
        <v>0</v>
      </c>
      <c r="F53" s="131">
        <f t="shared" si="9"/>
        <v>0</v>
      </c>
      <c r="G53" s="237">
        <f>E53</f>
        <v>0</v>
      </c>
      <c r="H53" s="237">
        <f t="shared" si="7"/>
        <v>0</v>
      </c>
      <c r="I53" s="269">
        <f>G53-E53</f>
        <v>0</v>
      </c>
      <c r="L53" s="796" t="s">
        <v>563</v>
      </c>
      <c r="M53" s="797"/>
      <c r="N53" s="797"/>
      <c r="O53" s="798"/>
      <c r="P53" s="271"/>
      <c r="Q53" s="271"/>
      <c r="R53" s="272" t="e">
        <f>R52</f>
        <v>#DIV/0!</v>
      </c>
      <c r="S53" s="181" t="e">
        <f>S52</f>
        <v>#DIV/0!</v>
      </c>
      <c r="T53" s="181" t="e">
        <f>T52</f>
        <v>#DIV/0!</v>
      </c>
      <c r="U53" s="237" t="e">
        <f>T52/(100-E46)*E46</f>
        <v>#DIV/0!</v>
      </c>
      <c r="V53" s="181" t="e">
        <f>T53+U53</f>
        <v>#DIV/0!</v>
      </c>
      <c r="W53" s="273" t="e">
        <f>X53-V53</f>
        <v>#DIV/0!</v>
      </c>
      <c r="X53" s="273">
        <f>X49</f>
        <v>340000</v>
      </c>
      <c r="Y53" s="184" t="s">
        <v>564</v>
      </c>
      <c r="Z53" s="194" t="e">
        <f>Z52/Z$46*100</f>
        <v>#DIV/0!</v>
      </c>
      <c r="AA53" s="194" t="e">
        <f>AA52/AA$46*100</f>
        <v>#DIV/0!</v>
      </c>
      <c r="AB53" s="194" t="e">
        <f>AB52/AB$46*100</f>
        <v>#DIV/0!</v>
      </c>
      <c r="AC53" s="161"/>
      <c r="AD53" s="194" t="e">
        <f>AD52/AD$46*100</f>
        <v>#DIV/0!</v>
      </c>
      <c r="AE53" s="194" t="e">
        <f>AE52/AE$46*100</f>
        <v>#DIV/0!</v>
      </c>
      <c r="AF53" s="194" t="e">
        <f>AF52/AF$46*100</f>
        <v>#DIV/0!</v>
      </c>
      <c r="AG53" s="162"/>
      <c r="AH53" s="147"/>
      <c r="AI53" s="194" t="e">
        <f>AI52/AI$46*100</f>
        <v>#DIV/0!</v>
      </c>
      <c r="AJ53" s="194" t="e">
        <f>AJ52/AJ$46*100</f>
        <v>#DIV/0!</v>
      </c>
      <c r="AK53" s="194" t="e">
        <f>AK52/AK$46*100</f>
        <v>#DIV/0!</v>
      </c>
      <c r="AL53" s="162"/>
      <c r="AM53" s="147"/>
      <c r="AN53" s="194" t="e">
        <f>AN52/AN$46*100</f>
        <v>#DIV/0!</v>
      </c>
      <c r="AO53" s="194" t="e">
        <f>AO52/AO$46*100</f>
        <v>#DIV/0!</v>
      </c>
      <c r="AP53" s="194" t="e">
        <f>AP52/AP$46*100</f>
        <v>#DIV/0!</v>
      </c>
      <c r="AQ53" s="161"/>
      <c r="AR53" s="458" t="e">
        <f>IF((100-P44-AR57-AR59)&gt;60,(100-60-AR57-AR59),P44)</f>
        <v>#DIV/0!</v>
      </c>
      <c r="AS53" s="265"/>
      <c r="AT53" s="173" t="e">
        <f>AT52/AT$46*100</f>
        <v>#DIV/0!</v>
      </c>
      <c r="AU53" s="165"/>
    </row>
    <row r="54" spans="3:47" s="137" customFormat="1" ht="71.25" customHeight="1">
      <c r="C54" s="130" t="s">
        <v>565</v>
      </c>
      <c r="D54" s="130" t="s">
        <v>438</v>
      </c>
      <c r="E54" s="266">
        <f>E52-E53</f>
        <v>26</v>
      </c>
      <c r="F54" s="131">
        <f t="shared" si="9"/>
        <v>26</v>
      </c>
      <c r="G54" s="237" t="e">
        <f>G52-G53</f>
        <v>#DIV/0!</v>
      </c>
      <c r="H54" s="237" t="e">
        <f>H52-H53</f>
        <v>#DIV/0!</v>
      </c>
      <c r="I54" s="269" t="e">
        <f>G54-E54</f>
        <v>#DIV/0!</v>
      </c>
      <c r="L54" s="785" t="s">
        <v>566</v>
      </c>
      <c r="M54" s="786"/>
      <c r="N54" s="786"/>
      <c r="O54" s="787"/>
      <c r="P54" s="171"/>
      <c r="Q54" s="171"/>
      <c r="R54" s="193" t="e">
        <f>R53/E49</f>
        <v>#DIV/0!</v>
      </c>
      <c r="S54" s="193" t="e">
        <f>S53/E50</f>
        <v>#DIV/0!</v>
      </c>
      <c r="T54" s="193" t="e">
        <f>T53/E51</f>
        <v>#DIV/0!</v>
      </c>
      <c r="U54" s="193" t="e">
        <f>U53/E52</f>
        <v>#DIV/0!</v>
      </c>
      <c r="V54" s="193" t="e">
        <f>V53/E48</f>
        <v>#DIV/0!</v>
      </c>
      <c r="W54" s="193"/>
      <c r="X54" s="193">
        <f>X53/$E$48</f>
        <v>11724.137931034482</v>
      </c>
      <c r="Y54" s="184" t="s">
        <v>567</v>
      </c>
      <c r="Z54" s="185" t="e">
        <f>IF(Z$51&lt;0,0,$AT54*Z$51/1000)</f>
        <v>#DIV/0!</v>
      </c>
      <c r="AA54" s="185" t="e">
        <f>IF(AA$51&lt;0,0,$AT54*(SUM(Z$51:AA$51))/1000)-Z54</f>
        <v>#DIV/0!</v>
      </c>
      <c r="AB54" s="185" t="e">
        <f>IF(AB$51&lt;0,0,$AT54*SUM(Z$51:AB$51)/1000)-SUM(Z54:AA54)</f>
        <v>#DIV/0!</v>
      </c>
      <c r="AC54" s="161" t="e">
        <f>SUM(Z54:AB54)</f>
        <v>#DIV/0!</v>
      </c>
      <c r="AD54" s="185" t="e">
        <f>IF(AD$51&lt;0,0,($AT54*(SUM(Z$51:AB$51)+AD$51))/1000)-SUM(Z54:AB54)</f>
        <v>#DIV/0!</v>
      </c>
      <c r="AE54" s="185" t="e">
        <f>IF(AE$51&lt;0,0,($AT54*(SUM(Z$51:AB$51)+SUM(AD$51:AE$51))/1000)-SUM(Z54:AB54)-AD54)</f>
        <v>#DIV/0!</v>
      </c>
      <c r="AF54" s="185" t="e">
        <f>IF(AF$51&lt;0,0,($AT54*(SUM(Z$51:AB$51)+SUM(AD$51:AF$51))/1000)-SUM(Z54:AB54)-SUM(AD54:AE54))</f>
        <v>#DIV/0!</v>
      </c>
      <c r="AG54" s="162" t="e">
        <f>SUM(AD54:AF54)</f>
        <v>#DIV/0!</v>
      </c>
      <c r="AH54" s="161" t="e">
        <f>AC54+AG54</f>
        <v>#DIV/0!</v>
      </c>
      <c r="AI54" s="185" t="e">
        <f>IF(AI$51&lt;0,0,($AT54*(SUM(Z$51:AB$51)+SUM(AD$51:AF$51)+AI$51)/1000)-SUM(Z54:AB54)-SUM(AD54:AF54))</f>
        <v>#DIV/0!</v>
      </c>
      <c r="AJ54" s="185" t="e">
        <f>IF(AJ$51&lt;0,0,($AT54*(SUM(Z$51:AB$51)+SUM(AD$51:AF$51)+SUM(AI$51:AJ$51))/1000)-SUM(Z54:AB54)-SUM(AD54:AF54)-AI54)</f>
        <v>#DIV/0!</v>
      </c>
      <c r="AK54" s="185" t="e">
        <f>IF(AK$51&lt;0,0,($AT54*(SUM(Z$51:AB$51)+SUM(AD$51:AF$51)+SUM(AI$51:AK$51))/1000)-SUM(Z54:AB54)-SUM(AD54:AF54)-SUM(AI54:AJ54))</f>
        <v>#DIV/0!</v>
      </c>
      <c r="AL54" s="162" t="e">
        <f>SUM(AI54:AK54)</f>
        <v>#DIV/0!</v>
      </c>
      <c r="AM54" s="161" t="e">
        <f>AH54+AL54</f>
        <v>#DIV/0!</v>
      </c>
      <c r="AN54" s="185" t="e">
        <f>IF(AN$51&lt;0,0,($AT54*(SUM(Z$51:AB$51)+SUM(AD$51:AF$51)+SUM(AI$51:AK$51)+AN$51)/1000)-SUM(Z54:AB54)-SUM(AD54:AF54)-SUM(AI54:AK54))</f>
        <v>#DIV/0!</v>
      </c>
      <c r="AO54" s="185" t="e">
        <f>IF(AO$51&lt;0,0,($AT54*(SUM(Z$51:AB$51)+SUM(AD$51:AF$51)+SUM(AI$51:AK$51)+SUM(AN$51:AO$51))/1000)-SUM(Z54:AB54)-SUM(AD54:AF54)-SUM(AI54:AK54)-AN54)</f>
        <v>#DIV/0!</v>
      </c>
      <c r="AP54" s="185" t="e">
        <f>IF(AP$51&lt;0,0,($AT54*(SUM(Z$51:AB$51)+SUM(AD$51:AF$51)+SUM(AI$51:AK$51)+SUM(AN$51:AP$51))/1000)-SUM(Z54:AB54)-SUM(AD54:AF54)-SUM(AI54:AK54)-SUM(AN54:AO54))</f>
        <v>#DIV/0!</v>
      </c>
      <c r="AQ54" s="161" t="e">
        <f>SUM(AN54:AP54)</f>
        <v>#DIV/0!</v>
      </c>
      <c r="AR54" s="459" t="e">
        <f>T65*12/1000</f>
        <v>#DIV/0!</v>
      </c>
      <c r="AS54" s="186" t="e">
        <f>AQ54+AM54-AR54</f>
        <v>#DIV/0!</v>
      </c>
      <c r="AT54" s="173" t="e">
        <f>AR54/(AR$34-AR$42)*1000</f>
        <v>#DIV/0!</v>
      </c>
      <c r="AU54" s="165" t="e">
        <f>AC54+AG54+AL54+AQ54-AR54</f>
        <v>#DIV/0!</v>
      </c>
    </row>
    <row r="55" spans="3:47" s="137" customFormat="1" ht="37.5" customHeight="1">
      <c r="C55" s="150" t="s">
        <v>568</v>
      </c>
      <c r="D55" s="130"/>
      <c r="E55" s="123"/>
      <c r="F55" s="131"/>
      <c r="G55" s="124"/>
      <c r="H55" s="124"/>
      <c r="I55" s="124"/>
      <c r="L55" s="785" t="s">
        <v>569</v>
      </c>
      <c r="M55" s="786"/>
      <c r="N55" s="786"/>
      <c r="O55" s="787"/>
      <c r="P55" s="202"/>
      <c r="Q55" s="202"/>
      <c r="R55" s="171" t="e">
        <f>R54/E45*100</f>
        <v>#DIV/0!</v>
      </c>
      <c r="S55" s="274" t="e">
        <f>S54/E47*100</f>
        <v>#DIV/0!</v>
      </c>
      <c r="T55" s="193" t="e">
        <f>(R55*R54/100+S55*S54/100)/(R54+S54)*100</f>
        <v>#DIV/0!</v>
      </c>
      <c r="U55" s="267" t="e">
        <f>(U53/E52)/((F42*1000-(E43*E49+E47*E50))/E52)*100</f>
        <v>#DIV/0!</v>
      </c>
      <c r="V55" s="193" t="e">
        <f>(T55*T54/100+U55*U54/100)/(T54+U54)*100</f>
        <v>#DIV/0!</v>
      </c>
      <c r="W55" s="202"/>
      <c r="X55" s="202"/>
      <c r="Y55" s="184" t="s">
        <v>570</v>
      </c>
      <c r="Z55" s="194" t="e">
        <f>Z54/Z$46*100</f>
        <v>#DIV/0!</v>
      </c>
      <c r="AA55" s="194" t="e">
        <f>AA54/AA$46*100</f>
        <v>#DIV/0!</v>
      </c>
      <c r="AB55" s="194" t="e">
        <f>AB54/AB$46*100</f>
        <v>#DIV/0!</v>
      </c>
      <c r="AC55" s="173"/>
      <c r="AD55" s="194" t="e">
        <f>AD54/AD$46*100</f>
        <v>#DIV/0!</v>
      </c>
      <c r="AE55" s="194" t="e">
        <f>AE54/AE$46*100</f>
        <v>#DIV/0!</v>
      </c>
      <c r="AF55" s="194" t="e">
        <f>AF54/AF$46*100</f>
        <v>#DIV/0!</v>
      </c>
      <c r="AG55" s="194"/>
      <c r="AH55" s="149"/>
      <c r="AI55" s="194" t="e">
        <f>AI54/AI$46*100</f>
        <v>#DIV/0!</v>
      </c>
      <c r="AJ55" s="194" t="e">
        <f>AJ54/AJ$46*100</f>
        <v>#DIV/0!</v>
      </c>
      <c r="AK55" s="194" t="e">
        <f>AK54/AK$46*100</f>
        <v>#DIV/0!</v>
      </c>
      <c r="AL55" s="194"/>
      <c r="AM55" s="149"/>
      <c r="AN55" s="194" t="e">
        <f>AN54/AN$46*100</f>
        <v>#DIV/0!</v>
      </c>
      <c r="AO55" s="194" t="e">
        <f>AO54/AO$46*100</f>
        <v>#DIV/0!</v>
      </c>
      <c r="AP55" s="194" t="e">
        <f>AP54/AP$46*100</f>
        <v>#DIV/0!</v>
      </c>
      <c r="AQ55" s="161"/>
      <c r="AR55" s="458" t="e">
        <f>AR54/AR46*100</f>
        <v>#DIV/0!</v>
      </c>
      <c r="AS55" s="265"/>
      <c r="AT55" s="173" t="e">
        <f>AT54/AT$46*100</f>
        <v>#DIV/0!</v>
      </c>
      <c r="AU55" s="165" t="e">
        <f>AC55+AG55+AL55+AQ55-AR55</f>
        <v>#DIV/0!</v>
      </c>
    </row>
    <row r="56" spans="3:47" s="137" customFormat="1" ht="66.75" customHeight="1">
      <c r="C56" s="130" t="s">
        <v>571</v>
      </c>
      <c r="D56" s="130" t="s">
        <v>572</v>
      </c>
      <c r="E56" s="157">
        <v>1040</v>
      </c>
      <c r="F56" s="131"/>
      <c r="G56" s="124"/>
      <c r="H56" s="124"/>
      <c r="I56" s="124"/>
      <c r="L56" s="791" t="s">
        <v>573</v>
      </c>
      <c r="M56" s="792"/>
      <c r="N56" s="792"/>
      <c r="O56" s="793"/>
      <c r="P56" s="275">
        <v>26</v>
      </c>
      <c r="Q56" s="275"/>
      <c r="R56" s="275"/>
      <c r="S56" s="275"/>
      <c r="T56" s="275"/>
      <c r="U56" s="276" t="e">
        <f>U53/((F42*1000-(E43*E49+E47*E50))/E52)</f>
        <v>#DIV/0!</v>
      </c>
      <c r="V56" s="275"/>
      <c r="W56" s="275"/>
      <c r="X56" s="275"/>
      <c r="Y56" s="184" t="s">
        <v>574</v>
      </c>
      <c r="Z56" s="185" t="e">
        <f>IF(Z$51&lt;0,0,$AT56*Z$51/1000)</f>
        <v>#DIV/0!</v>
      </c>
      <c r="AA56" s="185" t="e">
        <f>IF(AA$51&lt;0,0,$AT56*(SUM(Z$51:AA$51))/1000)-Z56</f>
        <v>#DIV/0!</v>
      </c>
      <c r="AB56" s="185" t="e">
        <f>IF(AB$51&lt;0,0,$AT56*SUM(Z$51:AB$51)/1000)-SUM(Z56:AA56)</f>
        <v>#DIV/0!</v>
      </c>
      <c r="AC56" s="161" t="e">
        <f>SUM(Z56:AB56)</f>
        <v>#DIV/0!</v>
      </c>
      <c r="AD56" s="185" t="e">
        <f>IF(AD$51&lt;0,0,($AT56*(SUM(Z$51:AB$51)+AD$51))/1000)-SUM(Z56:AB56)</f>
        <v>#DIV/0!</v>
      </c>
      <c r="AE56" s="185" t="e">
        <f>IF(AE$51&lt;0,0,($AT56*(SUM(Z$51:AB$51)+SUM(AD$51:AE$51))/1000)-SUM(Z56:AB56)-AD56)</f>
        <v>#DIV/0!</v>
      </c>
      <c r="AF56" s="185" t="e">
        <f>IF(AF$51&lt;0,0,($AT56*(SUM(Z$51:AB$51)+SUM(AD$51:AF$51))/1000)-SUM(Z56:AB56)-SUM(AD56:AE56))</f>
        <v>#DIV/0!</v>
      </c>
      <c r="AG56" s="162" t="e">
        <f>SUM(AD56:AF56)</f>
        <v>#DIV/0!</v>
      </c>
      <c r="AH56" s="161" t="e">
        <f>AC56+AG56</f>
        <v>#DIV/0!</v>
      </c>
      <c r="AI56" s="185" t="e">
        <f>IF(AI$51&lt;0,0,($AT56*(SUM(Z$51:AB$51)+SUM(AD$51:AF$51)+AI$51)/1000)-SUM(Z56:AB56)-SUM(AD56:AF56))</f>
        <v>#DIV/0!</v>
      </c>
      <c r="AJ56" s="185" t="e">
        <f>IF(AJ$51&lt;0,0,($AT56*(SUM(Z$51:AB$51)+SUM(AD$51:AF$51)+SUM(AI$51:AJ$51))/1000)-SUM(Z56:AB56)-SUM(AD56:AF56)-AI56)</f>
        <v>#DIV/0!</v>
      </c>
      <c r="AK56" s="185" t="e">
        <f>IF(AK$51&lt;0,0,($AT56*(SUM(Z$51:AB$51)+SUM(AD$51:AF$51)+SUM(AI$51:AK$51))/1000)-SUM(Z56:AB56)-SUM(AD56:AF56)-SUM(AI56:AJ56))</f>
        <v>#DIV/0!</v>
      </c>
      <c r="AL56" s="162" t="e">
        <f>SUM(AI56:AK56)</f>
        <v>#DIV/0!</v>
      </c>
      <c r="AM56" s="161" t="e">
        <f>AH56+AL56</f>
        <v>#DIV/0!</v>
      </c>
      <c r="AN56" s="185" t="e">
        <f>IF(AN$51&lt;0,0,($AT56*(SUM(Z$51:AB$51)+SUM(AD$51:AF$51)+SUM(AI$51:AK$51)+AN$51)/1000)-SUM(Z56:AB56)-SUM(AD56:AF56)-SUM(AI56:AK56))</f>
        <v>#DIV/0!</v>
      </c>
      <c r="AO56" s="185" t="e">
        <f>IF(AO$51&lt;0,0,($AT56*(SUM(Z$51:AB$51)+SUM(AD$51:AF$51)+SUM(AI$51:AK$51)+SUM(AN$51:AO$51))/1000)-SUM(Z56:AB56)-SUM(AD56:AF56)-SUM(AI56:AK56)-AN56)</f>
        <v>#DIV/0!</v>
      </c>
      <c r="AP56" s="185" t="e">
        <f>IF(AP$51&lt;0,0,($AT56*(SUM(Z$51:AB$51)+SUM(AD$51:AF$51)+SUM(AI$51:AK$51)+SUM(AN$51:AP$51))/1000)-SUM(Z56:AB56)-SUM(AD56:AF56)-SUM(AI56:AK56)-SUM(AN56:AO56))</f>
        <v>#DIV/0!</v>
      </c>
      <c r="AQ56" s="161" t="e">
        <f>SUM(AN56:AP56)</f>
        <v>#DIV/0!</v>
      </c>
      <c r="AR56" s="163" t="e">
        <f>T66*12/1000</f>
        <v>#DIV/0!</v>
      </c>
      <c r="AS56" s="186" t="e">
        <f>AQ56+AM56-AR56</f>
        <v>#DIV/0!</v>
      </c>
      <c r="AT56" s="164" t="e">
        <f>AR56/AR$34*1000</f>
        <v>#DIV/0!</v>
      </c>
      <c r="AU56" s="165" t="e">
        <f>AC56+AG56+AL56+AQ56-AR56</f>
        <v>#DIV/0!</v>
      </c>
    </row>
    <row r="57" spans="3:47" s="137" customFormat="1" ht="69" customHeight="1">
      <c r="C57" s="130" t="s">
        <v>575</v>
      </c>
      <c r="D57" s="130" t="s">
        <v>572</v>
      </c>
      <c r="E57" s="196"/>
      <c r="F57" s="131" t="e">
        <f>E60/12</f>
        <v>#DIV/0!</v>
      </c>
      <c r="G57" s="124"/>
      <c r="H57" s="124"/>
      <c r="I57" s="124"/>
      <c r="L57" s="791" t="s">
        <v>576</v>
      </c>
      <c r="M57" s="792"/>
      <c r="N57" s="792"/>
      <c r="O57" s="793"/>
      <c r="P57" s="275"/>
      <c r="Q57" s="275"/>
      <c r="R57" s="275"/>
      <c r="S57" s="275"/>
      <c r="T57" s="275"/>
      <c r="U57" s="277" t="e">
        <f>U56-E54</f>
        <v>#DIV/0!</v>
      </c>
      <c r="V57" s="275"/>
      <c r="W57" s="275"/>
      <c r="X57" s="275"/>
      <c r="Y57" s="184" t="s">
        <v>577</v>
      </c>
      <c r="Z57" s="194" t="e">
        <f>Z56/Z$46*100</f>
        <v>#DIV/0!</v>
      </c>
      <c r="AA57" s="194" t="e">
        <f>AA56/AA$46*100</f>
        <v>#DIV/0!</v>
      </c>
      <c r="AB57" s="194" t="e">
        <f>AB56/AB$46*100</f>
        <v>#DIV/0!</v>
      </c>
      <c r="AC57" s="173"/>
      <c r="AD57" s="194" t="e">
        <f>AD56/AD$46*100</f>
        <v>#DIV/0!</v>
      </c>
      <c r="AE57" s="194" t="e">
        <f>AE56/AE$46*100</f>
        <v>#DIV/0!</v>
      </c>
      <c r="AF57" s="194" t="e">
        <f>AF56/AF$46*100</f>
        <v>#DIV/0!</v>
      </c>
      <c r="AG57" s="194"/>
      <c r="AH57" s="149"/>
      <c r="AI57" s="194" t="e">
        <f>AI56/AI$46*100</f>
        <v>#DIV/0!</v>
      </c>
      <c r="AJ57" s="194" t="e">
        <f>AJ56/AJ$46*100</f>
        <v>#DIV/0!</v>
      </c>
      <c r="AK57" s="194" t="e">
        <f>AK56/AK$46*100</f>
        <v>#DIV/0!</v>
      </c>
      <c r="AL57" s="194"/>
      <c r="AM57" s="149"/>
      <c r="AN57" s="194" t="e">
        <f>AN56/AN$46*100</f>
        <v>#DIV/0!</v>
      </c>
      <c r="AO57" s="194" t="e">
        <f>AO56/AO$46*100</f>
        <v>#DIV/0!</v>
      </c>
      <c r="AP57" s="194" t="e">
        <f>AP56/AP$46*100</f>
        <v>#DIV/0!</v>
      </c>
      <c r="AQ57" s="161"/>
      <c r="AR57" s="458" t="e">
        <f>AR56/AR46*100</f>
        <v>#DIV/0!</v>
      </c>
      <c r="AS57" s="265"/>
      <c r="AT57" s="149"/>
      <c r="AU57" s="165"/>
    </row>
    <row r="58" spans="3:47" s="137" customFormat="1" ht="72.75" customHeight="1">
      <c r="C58" s="130" t="s">
        <v>578</v>
      </c>
      <c r="D58" s="130" t="s">
        <v>572</v>
      </c>
      <c r="E58" s="123">
        <f>E56-E57</f>
        <v>1040</v>
      </c>
      <c r="F58" s="131">
        <f>E58</f>
        <v>1040</v>
      </c>
      <c r="G58" s="124"/>
      <c r="H58" s="124"/>
      <c r="I58" s="124"/>
      <c r="L58" s="801" t="s">
        <v>579</v>
      </c>
      <c r="M58" s="802"/>
      <c r="N58" s="802"/>
      <c r="O58" s="803"/>
      <c r="P58" s="278"/>
      <c r="Q58" s="278"/>
      <c r="R58" s="276" t="e">
        <f>R53/E49</f>
        <v>#DIV/0!</v>
      </c>
      <c r="S58" s="276" t="e">
        <f>S53/E50</f>
        <v>#DIV/0!</v>
      </c>
      <c r="T58" s="276" t="e">
        <f>T53/E51</f>
        <v>#DIV/0!</v>
      </c>
      <c r="U58" s="276" t="e">
        <f>U53/U56</f>
        <v>#DIV/0!</v>
      </c>
      <c r="V58" s="276" t="e">
        <f>V53/(E48+U57)</f>
        <v>#DIV/0!</v>
      </c>
      <c r="W58" s="278"/>
      <c r="X58" s="279"/>
      <c r="Y58" s="184" t="s">
        <v>580</v>
      </c>
      <c r="Z58" s="185" t="e">
        <f>IF(Z$51&lt;0,0,$AT58*Z$51/1000)</f>
        <v>#DIV/0!</v>
      </c>
      <c r="AA58" s="185" t="e">
        <f>IF(AA$51&lt;0,0,$AT58*(SUM(Z$51:AA$51))/1000)-Z58</f>
        <v>#DIV/0!</v>
      </c>
      <c r="AB58" s="185" t="e">
        <f>IF(AB$51&lt;0,0,$AT58*SUM(Z$51:AB$51)/1000)-SUM(Z58:AA58)</f>
        <v>#DIV/0!</v>
      </c>
      <c r="AC58" s="161" t="e">
        <f>SUM(Z58:AB58)</f>
        <v>#DIV/0!</v>
      </c>
      <c r="AD58" s="185" t="e">
        <f>IF(AD$51&lt;0,0,($AT58*(SUM(Z$51:AB$51)+AD$51))/1000)-SUM(Z58:AB58)</f>
        <v>#DIV/0!</v>
      </c>
      <c r="AE58" s="185" t="e">
        <f>IF(AE$51&lt;0,0,($AT58*(SUM(Z$51:AB$51)+SUM(AD$51:AE$51))/1000)-SUM(Z58:AB58)-AD58)</f>
        <v>#DIV/0!</v>
      </c>
      <c r="AF58" s="185" t="e">
        <f>IF(AF$51&lt;0,0,($AT58*(SUM(Z$51:AB$51)+SUM(AD$51:AF$51))/1000)-SUM(Z58:AB58)-SUM(AD58:AE58))</f>
        <v>#DIV/0!</v>
      </c>
      <c r="AG58" s="162" t="e">
        <f>SUM(AD58:AF58)</f>
        <v>#DIV/0!</v>
      </c>
      <c r="AH58" s="161" t="e">
        <f>AC58+AG58</f>
        <v>#DIV/0!</v>
      </c>
      <c r="AI58" s="185" t="e">
        <f>IF(AI$51&lt;0,0,($AT58*(SUM(Z$51:AB$51)+SUM(AD$51:AF$51)+AI$51)/1000)-SUM(Z58:AB58)-SUM(AD58:AF58))</f>
        <v>#DIV/0!</v>
      </c>
      <c r="AJ58" s="185" t="e">
        <f>IF(AJ$51&lt;0,0,($AT58*(SUM(Z$51:AB$51)+SUM(AD$51:AF$51)+SUM(AI$51:AJ$51))/1000)-SUM(Z58:AB58)-SUM(AD58:AF58)-AI58)</f>
        <v>#DIV/0!</v>
      </c>
      <c r="AK58" s="185" t="e">
        <f>IF(AK$51&lt;0,0,($AT58*(SUM(Z$51:AB$51)+SUM(AD$51:AF$51)+SUM(AI$51:AK$51))/1000)-SUM(Z58:AB58)-SUM(AD58:AF58)-SUM(AI58:AJ58))</f>
        <v>#DIV/0!</v>
      </c>
      <c r="AL58" s="162" t="e">
        <f>SUM(AI58:AK58)</f>
        <v>#DIV/0!</v>
      </c>
      <c r="AM58" s="161" t="e">
        <f>AH58+AL58</f>
        <v>#DIV/0!</v>
      </c>
      <c r="AN58" s="185" t="e">
        <f>IF(AN$51&lt;0,0,($AT58*(SUM(Z$51:AB$51)+SUM(AD$51:AF$51)+SUM(AI$51:AK$51)+AN$51)/1000)-SUM(Z58:AB58)-SUM(AD58:AF58)-SUM(AI58:AK58))</f>
        <v>#DIV/0!</v>
      </c>
      <c r="AO58" s="185" t="e">
        <f>IF(AO$51&lt;0,0,($AT58*(SUM(Z$51:AB$51)+SUM(AD$51:AF$51)+SUM(AI$51:AK$51)+SUM(AN$51:AO$51))/1000)-SUM(Z58:AB58)-SUM(AD58:AF58)-SUM(AI58:AK58)-AN58)</f>
        <v>#DIV/0!</v>
      </c>
      <c r="AP58" s="185" t="e">
        <f>IF(AP$51&lt;0,0,($AT58*(SUM(Z$51:AB$51)+SUM(AD$51:AF$51)+SUM(AI$51:AK$51)+SUM(AN$51:AP$51))/1000)-SUM(Z58:AB58)-SUM(AD58:AF58)-SUM(AI58:AK58)-SUM(AN58:AO58))</f>
        <v>#DIV/0!</v>
      </c>
      <c r="AQ58" s="161" t="e">
        <f>SUM(AN58:AP58)</f>
        <v>#DIV/0!</v>
      </c>
      <c r="AR58" s="459" t="e">
        <f>T68*12/1000</f>
        <v>#DIV/0!</v>
      </c>
      <c r="AS58" s="186" t="e">
        <f>AQ58+AM58-AR58</f>
        <v>#DIV/0!</v>
      </c>
      <c r="AT58" s="164" t="e">
        <f>AR58/(AR$34-AR$42)*1000</f>
        <v>#DIV/0!</v>
      </c>
      <c r="AU58" s="165" t="e">
        <f>AC58+AG58+AL58+AQ58-AR58</f>
        <v>#DIV/0!</v>
      </c>
    </row>
    <row r="59" spans="3:47" s="137" customFormat="1" ht="39.75" customHeight="1">
      <c r="C59" s="130" t="s">
        <v>581</v>
      </c>
      <c r="D59" s="130" t="s">
        <v>582</v>
      </c>
      <c r="E59" s="131">
        <v>373.5</v>
      </c>
      <c r="F59" s="131">
        <f>E59</f>
        <v>373.5</v>
      </c>
      <c r="G59" s="210"/>
      <c r="H59" s="124"/>
      <c r="I59" s="124"/>
      <c r="L59" s="796" t="s">
        <v>583</v>
      </c>
      <c r="M59" s="797"/>
      <c r="N59" s="797"/>
      <c r="O59" s="798"/>
      <c r="P59" s="280"/>
      <c r="Q59" s="280"/>
      <c r="R59" s="280" t="e">
        <f>R54/R58*100</f>
        <v>#DIV/0!</v>
      </c>
      <c r="S59" s="280" t="e">
        <f>S54/S58*100</f>
        <v>#DIV/0!</v>
      </c>
      <c r="T59" s="281" t="e">
        <f>(R55*R54/100+S55*S54/100)/(R58+S58)*100</f>
        <v>#DIV/0!</v>
      </c>
      <c r="U59" s="281" t="e">
        <f>U58/((F42*1000-(E43*E49+E47*E50))/E52)*100</f>
        <v>#DIV/0!</v>
      </c>
      <c r="V59" s="281" t="e">
        <f>(T58*T59/100+U58*U59/100)/(T58+U58)*100</f>
        <v>#DIV/0!</v>
      </c>
      <c r="W59" s="278"/>
      <c r="X59" s="279"/>
      <c r="Y59" s="184" t="s">
        <v>584</v>
      </c>
      <c r="Z59" s="194" t="e">
        <f aca="true" t="shared" si="11" ref="Z59:AQ59">Z58/Z$46*100</f>
        <v>#DIV/0!</v>
      </c>
      <c r="AA59" s="194" t="e">
        <f t="shared" si="11"/>
        <v>#DIV/0!</v>
      </c>
      <c r="AB59" s="194" t="e">
        <f t="shared" si="11"/>
        <v>#DIV/0!</v>
      </c>
      <c r="AC59" s="194" t="e">
        <f t="shared" si="11"/>
        <v>#DIV/0!</v>
      </c>
      <c r="AD59" s="194" t="e">
        <f t="shared" si="11"/>
        <v>#DIV/0!</v>
      </c>
      <c r="AE59" s="194" t="e">
        <f t="shared" si="11"/>
        <v>#DIV/0!</v>
      </c>
      <c r="AF59" s="194" t="e">
        <f t="shared" si="11"/>
        <v>#DIV/0!</v>
      </c>
      <c r="AG59" s="194" t="e">
        <f t="shared" si="11"/>
        <v>#DIV/0!</v>
      </c>
      <c r="AH59" s="194" t="e">
        <f t="shared" si="11"/>
        <v>#DIV/0!</v>
      </c>
      <c r="AI59" s="194" t="e">
        <f t="shared" si="11"/>
        <v>#DIV/0!</v>
      </c>
      <c r="AJ59" s="194" t="e">
        <f t="shared" si="11"/>
        <v>#DIV/0!</v>
      </c>
      <c r="AK59" s="194" t="e">
        <f t="shared" si="11"/>
        <v>#DIV/0!</v>
      </c>
      <c r="AL59" s="194" t="e">
        <f t="shared" si="11"/>
        <v>#DIV/0!</v>
      </c>
      <c r="AM59" s="194" t="e">
        <f t="shared" si="11"/>
        <v>#DIV/0!</v>
      </c>
      <c r="AN59" s="194" t="e">
        <f t="shared" si="11"/>
        <v>#DIV/0!</v>
      </c>
      <c r="AO59" s="194" t="e">
        <f t="shared" si="11"/>
        <v>#DIV/0!</v>
      </c>
      <c r="AP59" s="194" t="e">
        <f t="shared" si="11"/>
        <v>#DIV/0!</v>
      </c>
      <c r="AQ59" s="162" t="e">
        <f t="shared" si="11"/>
        <v>#DIV/0!</v>
      </c>
      <c r="AR59" s="163" t="e">
        <f>#REF!</f>
        <v>#REF!</v>
      </c>
      <c r="AS59" s="265"/>
      <c r="AT59" s="149"/>
      <c r="AU59" s="165"/>
    </row>
    <row r="60" spans="3:47" s="137" customFormat="1" ht="72" customHeight="1">
      <c r="C60" s="130" t="s">
        <v>585</v>
      </c>
      <c r="D60" s="130" t="s">
        <v>582</v>
      </c>
      <c r="E60" s="131" t="e">
        <f>T52/29.3/E51</f>
        <v>#DIV/0!</v>
      </c>
      <c r="F60" s="131" t="e">
        <f>E60</f>
        <v>#DIV/0!</v>
      </c>
      <c r="G60" s="124"/>
      <c r="H60" s="124"/>
      <c r="I60" s="124"/>
      <c r="L60" s="804" t="s">
        <v>586</v>
      </c>
      <c r="M60" s="805"/>
      <c r="N60" s="805"/>
      <c r="O60" s="806"/>
      <c r="P60" s="282" t="e">
        <f>P63+P64+P65+P66+P68</f>
        <v>#DIV/0!</v>
      </c>
      <c r="Q60" s="283"/>
      <c r="R60" s="283"/>
      <c r="S60" s="284"/>
      <c r="T60" s="181" t="e">
        <f>T53-T$38-T$39</f>
        <v>#DIV/0!</v>
      </c>
      <c r="U60" s="181" t="e">
        <f>U53-U38-U39</f>
        <v>#DIV/0!</v>
      </c>
      <c r="V60" s="181" t="e">
        <f>T60+U60</f>
        <v>#DIV/0!</v>
      </c>
      <c r="W60" s="283"/>
      <c r="X60" s="219" t="e">
        <f>T60+U60+W60</f>
        <v>#DIV/0!</v>
      </c>
      <c r="Y60" s="460" t="s">
        <v>587</v>
      </c>
      <c r="Z60" s="461" t="e">
        <f>Z38+Z46+Z45</f>
        <v>#DIV/0!</v>
      </c>
      <c r="AA60" s="461" t="e">
        <f>AA38+AA46+AA45</f>
        <v>#DIV/0!</v>
      </c>
      <c r="AB60" s="461" t="e">
        <f>AB38+AB46+AB45</f>
        <v>#DIV/0!</v>
      </c>
      <c r="AC60" s="461" t="e">
        <f>SUM(Z60:AB60)</f>
        <v>#DIV/0!</v>
      </c>
      <c r="AD60" s="461" t="e">
        <f>AD38+AD46+AD45</f>
        <v>#DIV/0!</v>
      </c>
      <c r="AE60" s="461" t="e">
        <f>AE38+AE46+AE45</f>
        <v>#DIV/0!</v>
      </c>
      <c r="AF60" s="461" t="e">
        <f>AF38+AF46+AF45</f>
        <v>#DIV/0!</v>
      </c>
      <c r="AG60" s="462" t="e">
        <f>SUM(AD60:AF60)</f>
        <v>#DIV/0!</v>
      </c>
      <c r="AH60" s="461" t="e">
        <f>AC60+AG60</f>
        <v>#DIV/0!</v>
      </c>
      <c r="AI60" s="461" t="e">
        <f>AI38+AI46+AI45</f>
        <v>#DIV/0!</v>
      </c>
      <c r="AJ60" s="461" t="e">
        <f>AJ38+AJ46+AJ45</f>
        <v>#DIV/0!</v>
      </c>
      <c r="AK60" s="461" t="e">
        <f>AK38+AK46+AK45</f>
        <v>#DIV/0!</v>
      </c>
      <c r="AL60" s="462" t="e">
        <f>SUM(AI60:AK60)</f>
        <v>#DIV/0!</v>
      </c>
      <c r="AM60" s="461" t="e">
        <f>AH60+AL60</f>
        <v>#DIV/0!</v>
      </c>
      <c r="AN60" s="461" t="e">
        <f>AN38+AN46+AN45</f>
        <v>#DIV/0!</v>
      </c>
      <c r="AO60" s="461" t="e">
        <f>AO38+AO46+AO45</f>
        <v>#DIV/0!</v>
      </c>
      <c r="AP60" s="461" t="e">
        <f>AP38+AP46+AP45</f>
        <v>#DIV/0!</v>
      </c>
      <c r="AQ60" s="461" t="e">
        <f>SUM(AN60:AP60)</f>
        <v>#DIV/0!</v>
      </c>
      <c r="AR60" s="459" t="e">
        <f>AM60+AQ60</f>
        <v>#DIV/0!</v>
      </c>
      <c r="AS60" s="463" t="e">
        <f>AQ60+AM60-AR60</f>
        <v>#DIV/0!</v>
      </c>
      <c r="AT60" s="464" t="e">
        <f>AR60/(AR$34-AR$42)*1000</f>
        <v>#DIV/0!</v>
      </c>
      <c r="AU60" s="465" t="e">
        <f>AC60+AG60+AL60+AQ60-AR60</f>
        <v>#DIV/0!</v>
      </c>
    </row>
    <row r="61" spans="3:47" s="137" customFormat="1" ht="53.25" customHeight="1">
      <c r="C61" s="130" t="s">
        <v>588</v>
      </c>
      <c r="D61" s="130" t="s">
        <v>582</v>
      </c>
      <c r="E61" s="131">
        <v>373.5</v>
      </c>
      <c r="F61" s="131">
        <f>E61</f>
        <v>373.5</v>
      </c>
      <c r="G61" s="124"/>
      <c r="H61" s="124"/>
      <c r="I61" s="124"/>
      <c r="L61" s="807" t="s">
        <v>589</v>
      </c>
      <c r="M61" s="808"/>
      <c r="N61" s="808"/>
      <c r="O61" s="809"/>
      <c r="P61" s="285"/>
      <c r="Q61" s="202"/>
      <c r="R61" s="202"/>
      <c r="S61" s="203"/>
      <c r="T61" s="267" t="e">
        <f>IF(T$36=0,0,T60/T$36*100)</f>
        <v>#REF!</v>
      </c>
      <c r="U61" s="268" t="e">
        <f>IF(U36=0,0,U60/U36*100)</f>
        <v>#REF!</v>
      </c>
      <c r="V61" s="268" t="e">
        <f>IF(V36=0,0,V60/V36*100)</f>
        <v>#REF!</v>
      </c>
      <c r="W61" s="202"/>
      <c r="X61" s="286" t="e">
        <f>IF($X$36=0,0,X60/$X$36*100)</f>
        <v>#REF!</v>
      </c>
      <c r="Y61" s="184" t="s">
        <v>590</v>
      </c>
      <c r="Z61" s="164" t="e">
        <f>Z60/$G$51*1000</f>
        <v>#DIV/0!</v>
      </c>
      <c r="AA61" s="164" t="e">
        <f>AA60/$G$51*1000</f>
        <v>#DIV/0!</v>
      </c>
      <c r="AB61" s="164" t="e">
        <f>AB60/$G$51*1000</f>
        <v>#DIV/0!</v>
      </c>
      <c r="AC61" s="164" t="e">
        <f>AC60/$G$51*1000/3</f>
        <v>#DIV/0!</v>
      </c>
      <c r="AD61" s="164" t="e">
        <f>AD60/$G$51*1000</f>
        <v>#DIV/0!</v>
      </c>
      <c r="AE61" s="164" t="e">
        <f>AE60/$G$51*1000</f>
        <v>#DIV/0!</v>
      </c>
      <c r="AF61" s="164" t="e">
        <f>AF60/$G$51*1000</f>
        <v>#DIV/0!</v>
      </c>
      <c r="AG61" s="164" t="e">
        <f>AG60/$G$51*1000/3</f>
        <v>#DIV/0!</v>
      </c>
      <c r="AH61" s="164" t="e">
        <f>AH60/$G$51*1000/3/2</f>
        <v>#DIV/0!</v>
      </c>
      <c r="AI61" s="164" t="e">
        <f>AI60/$G$51*1000</f>
        <v>#DIV/0!</v>
      </c>
      <c r="AJ61" s="164" t="e">
        <f>AJ60/$G$51*1000</f>
        <v>#DIV/0!</v>
      </c>
      <c r="AK61" s="164" t="e">
        <f>AK60/$G$51*1000</f>
        <v>#DIV/0!</v>
      </c>
      <c r="AL61" s="164" t="e">
        <f>AL60/$G$51*1000/3</f>
        <v>#DIV/0!</v>
      </c>
      <c r="AM61" s="164" t="e">
        <f>AM60/$G$51*1000/3/3</f>
        <v>#DIV/0!</v>
      </c>
      <c r="AN61" s="164" t="e">
        <f>AN60/$G$51*1000</f>
        <v>#DIV/0!</v>
      </c>
      <c r="AO61" s="164" t="e">
        <f>AO60/$G$51*1000</f>
        <v>#DIV/0!</v>
      </c>
      <c r="AP61" s="164" t="e">
        <f>AP60/$G$51*1000</f>
        <v>#DIV/0!</v>
      </c>
      <c r="AQ61" s="287" t="e">
        <f>AQ60/$G$51*1000/3</f>
        <v>#DIV/0!</v>
      </c>
      <c r="AR61" s="466" t="e">
        <f>AR60/$G$51/12*1000</f>
        <v>#DIV/0!</v>
      </c>
      <c r="AS61" s="288"/>
      <c r="AT61" s="149"/>
      <c r="AU61" s="289"/>
    </row>
    <row r="62" spans="3:47" ht="52.5" customHeight="1">
      <c r="C62" s="130" t="s">
        <v>591</v>
      </c>
      <c r="D62" s="130" t="s">
        <v>478</v>
      </c>
      <c r="E62" s="290">
        <v>0</v>
      </c>
      <c r="F62" s="290">
        <f>E62/12</f>
        <v>0</v>
      </c>
      <c r="G62" s="140" t="e">
        <f>G63+G64</f>
        <v>#DIV/0!</v>
      </c>
      <c r="H62" s="124"/>
      <c r="I62" s="124"/>
      <c r="L62" s="785" t="s">
        <v>592</v>
      </c>
      <c r="M62" s="786"/>
      <c r="N62" s="786"/>
      <c r="O62" s="787"/>
      <c r="P62" s="285" t="e">
        <f>V62/V60</f>
        <v>#DIV/0!</v>
      </c>
      <c r="Q62" s="291"/>
      <c r="R62" s="291"/>
      <c r="S62" s="292"/>
      <c r="T62" s="193" t="e">
        <f>T60*$P$42</f>
        <v>#DIV/0!</v>
      </c>
      <c r="U62" s="193" t="e">
        <f>U60*$P$42</f>
        <v>#DIV/0!</v>
      </c>
      <c r="V62" s="193" t="e">
        <f aca="true" t="shared" si="12" ref="V62:V68">T62+U62</f>
        <v>#DIV/0!</v>
      </c>
      <c r="W62" s="202"/>
      <c r="X62" s="293" t="e">
        <f aca="true" t="shared" si="13" ref="X62:X68">T62+U62+W62</f>
        <v>#DIV/0!</v>
      </c>
      <c r="Y62" s="184" t="s">
        <v>593</v>
      </c>
      <c r="Z62" s="194" t="e">
        <f aca="true" t="shared" si="14" ref="Z62:AR62">Z61/$E$43*100</f>
        <v>#DIV/0!</v>
      </c>
      <c r="AA62" s="194" t="e">
        <f t="shared" si="14"/>
        <v>#DIV/0!</v>
      </c>
      <c r="AB62" s="194" t="e">
        <f t="shared" si="14"/>
        <v>#DIV/0!</v>
      </c>
      <c r="AC62" s="194" t="e">
        <f>AC61/$E$43*100</f>
        <v>#DIV/0!</v>
      </c>
      <c r="AD62" s="194" t="e">
        <f t="shared" si="14"/>
        <v>#DIV/0!</v>
      </c>
      <c r="AE62" s="194" t="e">
        <f t="shared" si="14"/>
        <v>#DIV/0!</v>
      </c>
      <c r="AF62" s="194" t="e">
        <f t="shared" si="14"/>
        <v>#DIV/0!</v>
      </c>
      <c r="AG62" s="194" t="e">
        <f t="shared" si="14"/>
        <v>#DIV/0!</v>
      </c>
      <c r="AH62" s="194" t="e">
        <f t="shared" si="14"/>
        <v>#DIV/0!</v>
      </c>
      <c r="AI62" s="194" t="e">
        <f t="shared" si="14"/>
        <v>#DIV/0!</v>
      </c>
      <c r="AJ62" s="194" t="e">
        <f t="shared" si="14"/>
        <v>#DIV/0!</v>
      </c>
      <c r="AK62" s="194" t="e">
        <f t="shared" si="14"/>
        <v>#DIV/0!</v>
      </c>
      <c r="AL62" s="194" t="e">
        <f t="shared" si="14"/>
        <v>#DIV/0!</v>
      </c>
      <c r="AM62" s="194" t="e">
        <f t="shared" si="14"/>
        <v>#DIV/0!</v>
      </c>
      <c r="AN62" s="194" t="e">
        <f t="shared" si="14"/>
        <v>#DIV/0!</v>
      </c>
      <c r="AO62" s="194" t="e">
        <f t="shared" si="14"/>
        <v>#DIV/0!</v>
      </c>
      <c r="AP62" s="194" t="e">
        <f t="shared" si="14"/>
        <v>#DIV/0!</v>
      </c>
      <c r="AQ62" s="162" t="e">
        <f t="shared" si="14"/>
        <v>#DIV/0!</v>
      </c>
      <c r="AR62" s="163" t="e">
        <f t="shared" si="14"/>
        <v>#DIV/0!</v>
      </c>
      <c r="AS62" s="265"/>
      <c r="AT62" s="149"/>
      <c r="AU62" s="165"/>
    </row>
    <row r="63" spans="3:47" ht="73.5" customHeight="1">
      <c r="C63" s="130" t="s">
        <v>594</v>
      </c>
      <c r="D63" s="130" t="s">
        <v>478</v>
      </c>
      <c r="E63" s="290">
        <v>0</v>
      </c>
      <c r="F63" s="216">
        <f>E63/12</f>
        <v>0</v>
      </c>
      <c r="G63" s="140" t="e">
        <f>G66*G69</f>
        <v>#DIV/0!</v>
      </c>
      <c r="H63" s="124"/>
      <c r="I63" s="294"/>
      <c r="L63" s="796" t="s">
        <v>595</v>
      </c>
      <c r="M63" s="797"/>
      <c r="N63" s="797"/>
      <c r="O63" s="798"/>
      <c r="P63" s="282" t="e">
        <f>V63/V60</f>
        <v>#DIV/0!</v>
      </c>
      <c r="Q63" s="283"/>
      <c r="R63" s="283"/>
      <c r="S63" s="284"/>
      <c r="T63" s="181" t="e">
        <f>IF($P$42&lt;60%,60%*T60,T62)</f>
        <v>#DIV/0!</v>
      </c>
      <c r="U63" s="181" t="e">
        <f>IF($P$42&lt;60%,60%*U60,U62)</f>
        <v>#DIV/0!</v>
      </c>
      <c r="V63" s="181" t="e">
        <f t="shared" si="12"/>
        <v>#DIV/0!</v>
      </c>
      <c r="W63" s="202"/>
      <c r="X63" s="293" t="e">
        <f t="shared" si="13"/>
        <v>#DIV/0!</v>
      </c>
      <c r="Y63" s="295" t="s">
        <v>596</v>
      </c>
      <c r="Z63" s="239" t="e">
        <f>Z66+Z71+Z74</f>
        <v>#DIV/0!</v>
      </c>
      <c r="AA63" s="239" t="e">
        <f>AA66+AA71+AA74</f>
        <v>#DIV/0!</v>
      </c>
      <c r="AB63" s="239" t="e">
        <f>AB66+AB71+AB74</f>
        <v>#DIV/0!</v>
      </c>
      <c r="AC63" s="163" t="e">
        <f>SUM(Z63:AB63)</f>
        <v>#DIV/0!</v>
      </c>
      <c r="AD63" s="239" t="e">
        <f>AD66+AD71+AD74</f>
        <v>#DIV/0!</v>
      </c>
      <c r="AE63" s="239" t="e">
        <f>AE66+AE71+AE74</f>
        <v>#DIV/0!</v>
      </c>
      <c r="AF63" s="239" t="e">
        <f>AF66+AF71+AF74</f>
        <v>#DIV/0!</v>
      </c>
      <c r="AG63" s="296" t="e">
        <f>SUM(AD63:AF63)</f>
        <v>#DIV/0!</v>
      </c>
      <c r="AH63" s="163" t="e">
        <f>AC63+AG63</f>
        <v>#DIV/0!</v>
      </c>
      <c r="AI63" s="239" t="e">
        <f>AI66+AI71+AI74</f>
        <v>#DIV/0!</v>
      </c>
      <c r="AJ63" s="239" t="e">
        <f>AJ66+AJ71+AJ74</f>
        <v>#DIV/0!</v>
      </c>
      <c r="AK63" s="239" t="e">
        <f>AK66+AK71+AK74</f>
        <v>#DIV/0!</v>
      </c>
      <c r="AL63" s="296" t="e">
        <f>SUM(AI63:AK63)</f>
        <v>#DIV/0!</v>
      </c>
      <c r="AM63" s="163" t="e">
        <f>AH63+AL63</f>
        <v>#DIV/0!</v>
      </c>
      <c r="AN63" s="239" t="e">
        <f>AN66+AN71+AN74</f>
        <v>#DIV/0!</v>
      </c>
      <c r="AO63" s="239" t="e">
        <f>AO66+AO71+AO74</f>
        <v>#DIV/0!</v>
      </c>
      <c r="AP63" s="239" t="e">
        <f>AP66+AP71+AP74</f>
        <v>#DIV/0!</v>
      </c>
      <c r="AQ63" s="163" t="e">
        <f>SUM(AN63:AP63)</f>
        <v>#DIV/0!</v>
      </c>
      <c r="AR63" s="459" t="e">
        <f>U52*12/1000</f>
        <v>#DIV/0!</v>
      </c>
      <c r="AS63" s="297" t="e">
        <f>AQ63+AM63-AR63</f>
        <v>#DIV/0!</v>
      </c>
      <c r="AT63" s="298" t="e">
        <f>AR63/(AR$34-AR$42)*1000</f>
        <v>#DIV/0!</v>
      </c>
      <c r="AU63" s="299" t="e">
        <f>AC63+AG63+AL63+AQ63-AR63</f>
        <v>#DIV/0!</v>
      </c>
    </row>
    <row r="64" spans="3:47" ht="35.25" customHeight="1">
      <c r="C64" s="130" t="s">
        <v>597</v>
      </c>
      <c r="D64" s="130" t="s">
        <v>478</v>
      </c>
      <c r="E64" s="290">
        <v>0</v>
      </c>
      <c r="F64" s="290">
        <f>F62-F63</f>
        <v>0</v>
      </c>
      <c r="G64" s="140" t="e">
        <f>G67*G70</f>
        <v>#DIV/0!</v>
      </c>
      <c r="H64" s="124"/>
      <c r="I64" s="294"/>
      <c r="L64" s="796" t="s">
        <v>598</v>
      </c>
      <c r="M64" s="797"/>
      <c r="N64" s="797"/>
      <c r="O64" s="798"/>
      <c r="P64" s="282" t="e">
        <f>V64/V60</f>
        <v>#DIV/0!</v>
      </c>
      <c r="Q64" s="283"/>
      <c r="R64" s="283"/>
      <c r="S64" s="284"/>
      <c r="T64" s="181" t="e">
        <f>T60-T68-T66-T63-T65</f>
        <v>#DIV/0!</v>
      </c>
      <c r="U64" s="181" t="e">
        <f>U60-U63-U65-U66-U68</f>
        <v>#DIV/0!</v>
      </c>
      <c r="V64" s="181" t="e">
        <f t="shared" si="12"/>
        <v>#DIV/0!</v>
      </c>
      <c r="W64" s="202"/>
      <c r="X64" s="293" t="e">
        <f t="shared" si="13"/>
        <v>#DIV/0!</v>
      </c>
      <c r="Y64" s="300" t="s">
        <v>599</v>
      </c>
      <c r="Z64" s="185" t="e">
        <f>IF((Z$34-Z$70)&lt;0,0,$AT64*(Z$34-Z$70)/1000)</f>
        <v>#DIV/0!</v>
      </c>
      <c r="AA64" s="185" t="e">
        <f>IF(AA$34-AA$70&lt;0,0,($AT64*(SUM(Z$34:AA$34)-SUM(Z$70:AA$70))/1000)-Z64)</f>
        <v>#DIV/0!</v>
      </c>
      <c r="AB64" s="185" t="e">
        <f>IF((AB$34-AB$70)&lt;0,0,($AT64*(SUM(Z$34:AB$34)-SUM(Z$70:AB$70))/1000)-SUM(Z64:AA64))</f>
        <v>#DIV/0!</v>
      </c>
      <c r="AC64" s="163" t="e">
        <f>SUM(Z64:AB64)</f>
        <v>#DIV/0!</v>
      </c>
      <c r="AD64" s="185" t="e">
        <f>IF((AD$34-AD$70)&lt;0,0,$AT64*(AD$34-AD$70)/1000)</f>
        <v>#DIV/0!</v>
      </c>
      <c r="AE64" s="185" t="e">
        <f>IF(AE$34-AE$70&lt;0,0,($AT64*(SUM(AD$34:AE$34)-SUM(AD$70:AE$70))/1000)-AD64)</f>
        <v>#DIV/0!</v>
      </c>
      <c r="AF64" s="185" t="e">
        <f>IF((AF$34-AF$70)&lt;0,0,($AT64*(SUM(AD$34:AF$34)-SUM(AD$70:AF$70))/1000)-SUM(AD64:AE64))</f>
        <v>#DIV/0!</v>
      </c>
      <c r="AG64" s="296" t="e">
        <f>SUM(AD64:AF64)</f>
        <v>#DIV/0!</v>
      </c>
      <c r="AH64" s="163" t="e">
        <f>AC64+AG64</f>
        <v>#DIV/0!</v>
      </c>
      <c r="AI64" s="185" t="e">
        <f>IF((AI$34-AI$70)&lt;0,0,$AT64*(AI$34-AI$70)/1000)</f>
        <v>#DIV/0!</v>
      </c>
      <c r="AJ64" s="185" t="e">
        <f>IF(AJ$34-AJ$70&lt;0,0,($AT64*(SUM(AI$34:AJ$34)-SUM(AI$70:AJ$70))/1000)-AI64)</f>
        <v>#DIV/0!</v>
      </c>
      <c r="AK64" s="185" t="e">
        <f>IF((AK$34-AK$70)&lt;0,0,($AT64*(SUM(AI$34:AK$34)-SUM(AI$70:AK$70))/1000)-SUM(AI64:AJ64))</f>
        <v>#DIV/0!</v>
      </c>
      <c r="AL64" s="296" t="e">
        <f>SUM(AI64:AK64)</f>
        <v>#DIV/0!</v>
      </c>
      <c r="AM64" s="163" t="e">
        <f>AH64+AL64</f>
        <v>#DIV/0!</v>
      </c>
      <c r="AN64" s="185" t="e">
        <f>IF(AN$34-AN$70&lt;0,0,($AT64*(SUM(Z$34:AB$34)+SUM(AD$34:AF$34)+SUM(AI$34:AK$34)+AN$34-SUM(Z$70:AB$70)-SUM(AD$70:AF$70)-SUM(AI$70:AK$70)-AN$70)/1000)-SUM(Z64:AB64)-SUM(AD64:AF64)-SUM(AI64:AK64))</f>
        <v>#DIV/0!</v>
      </c>
      <c r="AO64" s="185" t="e">
        <f>IF(AO$34-AO$70&lt;0,0,($AT64*(SUM(Z$34:AB$34)+SUM(AD$34:AF$34)+SUM(AI$34:AK$34)+SUM(AN$34:AO$34)-SUM(Z$70:AB$70)-SUM(AD$70:AF$70)-SUM(AI$70:AK$70)-SUM(AN$70:AO$70))/1000)-SUM(Z64:AB64)-SUM(AD64:AF64)-SUM(AI64:AK64)-AN64)</f>
        <v>#DIV/0!</v>
      </c>
      <c r="AP64" s="185" t="e">
        <f>IF(AP$34-AP$70&lt;0,0,($AT64*(SUM(Z$34:AB$34)+SUM(AD$34:AF$34)+SUM(AI$34:AK$34)+SUM(AN$34:AP$34)-SUM(Z$70:AB$70)-SUM(AD$70:AF$70)-SUM(AI$70:AK$70)-SUM(AN$70:AP$70))/1000)-SUM(Z64:AB64)-SUM(AD64:AF64)-SUM(AI64:AK64)-SUM(AN64:AO64))</f>
        <v>#DIV/0!</v>
      </c>
      <c r="AQ64" s="163" t="e">
        <f>SUM(AN64:AP64)</f>
        <v>#DIV/0!</v>
      </c>
      <c r="AR64" s="467" t="e">
        <f>U36*12/1000</f>
        <v>#REF!</v>
      </c>
      <c r="AS64" s="297" t="e">
        <f>AQ64+AM64-AR64</f>
        <v>#DIV/0!</v>
      </c>
      <c r="AT64" s="298" t="e">
        <f>AR64/(AR$34-AR$70)*1000</f>
        <v>#REF!</v>
      </c>
      <c r="AU64" s="299" t="e">
        <f>AC64+AG64+AL64+AQ64-AR64</f>
        <v>#DIV/0!</v>
      </c>
    </row>
    <row r="65" spans="3:47" ht="36" customHeight="1">
      <c r="C65" s="130" t="s">
        <v>600</v>
      </c>
      <c r="D65" s="130" t="s">
        <v>5</v>
      </c>
      <c r="E65" s="131">
        <v>40.3</v>
      </c>
      <c r="F65" s="301"/>
      <c r="G65" s="302">
        <f>E65</f>
        <v>40.3</v>
      </c>
      <c r="H65" s="294"/>
      <c r="I65" s="294"/>
      <c r="L65" s="796" t="s">
        <v>6</v>
      </c>
      <c r="M65" s="797"/>
      <c r="N65" s="797"/>
      <c r="O65" s="798"/>
      <c r="P65" s="282" t="e">
        <f>V65/V60</f>
        <v>#DIV/0!</v>
      </c>
      <c r="Q65" s="283"/>
      <c r="R65" s="283"/>
      <c r="S65" s="284"/>
      <c r="T65" s="181" t="e">
        <f>IF($P$62&lt;60%,T60-T63-T66-T68,T45)</f>
        <v>#DIV/0!</v>
      </c>
      <c r="U65" s="181" t="e">
        <f>IF($P$62&lt;60%,U60-U63-U66-U68,U45)</f>
        <v>#DIV/0!</v>
      </c>
      <c r="V65" s="181" t="e">
        <f t="shared" si="12"/>
        <v>#DIV/0!</v>
      </c>
      <c r="W65" s="202"/>
      <c r="X65" s="293" t="e">
        <f t="shared" si="13"/>
        <v>#DIV/0!</v>
      </c>
      <c r="Y65" s="300" t="s">
        <v>7</v>
      </c>
      <c r="Z65" s="185" t="e">
        <f>IF((Z$34-Z$70)&lt;0,0,$AT65*(Z$34-Z$70)/1000)</f>
        <v>#DIV/0!</v>
      </c>
      <c r="AA65" s="185" t="e">
        <f>IF(AA$34-AA$70&lt;0,0,($AT65*(SUM(Z$34:AA$34)-SUM(Z$70:AA$70))/1000)-Z65)</f>
        <v>#DIV/0!</v>
      </c>
      <c r="AB65" s="185" t="e">
        <f>IF((AB$34-AB$70)&lt;0,0,($AT65*(SUM(Z$34:AB$34)-SUM(Z$70:AB$70))/1000)-SUM(Z65:AA65))</f>
        <v>#DIV/0!</v>
      </c>
      <c r="AC65" s="163" t="e">
        <f>SUM(Z65:AB65)</f>
        <v>#DIV/0!</v>
      </c>
      <c r="AD65" s="185" t="e">
        <f>IF((AD$34-AD$70)&lt;0,0,($AT65*(SUM(Z$34:AB$34)+AD$34-SUM(Z$70:AB$70)-AD$70)/1000)-SUM(Z65:AB65))</f>
        <v>#DIV/0!</v>
      </c>
      <c r="AE65" s="185" t="e">
        <f>IF((AE$34-AE$70)&lt;0,0,($AT65*(SUM(Z$34:AB$34)+SUM(AD$34:AE$34)-SUM(Z$70:AB$70)-SUM(AD$70:AE$70))/1000)-SUM(Z65:AB65)-AD65)</f>
        <v>#DIV/0!</v>
      </c>
      <c r="AF65" s="185" t="e">
        <f>IF((AF$34-AF$70)&lt;0,0,($AT65*(SUM(Z$34:AB$34)+SUM(AD$34:AF$34)-SUM(Z$70:AB$70)-SUM(AD$70:AF$70))/1000)-SUM(Z65:AB65)-SUM(AD65:AE65))</f>
        <v>#DIV/0!</v>
      </c>
      <c r="AG65" s="296" t="e">
        <f>SUM(AD65:AF65)</f>
        <v>#DIV/0!</v>
      </c>
      <c r="AH65" s="163" t="e">
        <f>AC65+AG65</f>
        <v>#DIV/0!</v>
      </c>
      <c r="AI65" s="185" t="e">
        <f>IF((AI$34-AI$70)&lt;0,0,($AT65*(SUM(Z$34:AB$34)+SUM(AD$34:AF$34)+AI$34-SUM(Z$70:AB$70)-SUM(AD$70:AF$70)-AI$70)/1000)-SUM(Z65:AB65)-SUM(AD65:AF65))</f>
        <v>#DIV/0!</v>
      </c>
      <c r="AJ65" s="185" t="e">
        <f>IF((AJ$34-AJ$70)&lt;0,0,($AT65*(SUM(Z$34:AB$34)+SUM(AD$34:AF$34)+SUM(AI$34:AJ$34)-SUM(Z$70:AB$70)-SUM(AD$70:AF$70)-SUM(AI$70:AJ$70))/1000)-SUM(Z65:AB65)-SUM(AD65:AF65)-AI65)</f>
        <v>#DIV/0!</v>
      </c>
      <c r="AK65" s="185" t="e">
        <f>IF((AK$34-AK$70)&lt;0,0,($AT65*(SUM(Z$34:AB$34)+SUM(AD$34:AF$34)+SUM(AI$34:AK$34)-SUM(Z$70:AB$70)-SUM(AD$70:AF$70)-SUM(AI$70:AK$70))/1000)-SUM(Z65:AB65)-SUM(AD65:AF65)-SUM(AI65:AJ65))</f>
        <v>#DIV/0!</v>
      </c>
      <c r="AL65" s="296" t="e">
        <f>SUM(AI65:AK65)</f>
        <v>#DIV/0!</v>
      </c>
      <c r="AM65" s="163" t="e">
        <f>AH65+AL65</f>
        <v>#DIV/0!</v>
      </c>
      <c r="AN65" s="185" t="e">
        <f>IF(AN$34-AN$70&lt;0,0,($AT65*(SUM(Z$34:AB$34)+SUM(AD$34:AF$34)+SUM(AI$34:AK$34)+AN$34-SUM(Z$70:AB$70)-SUM(AD$70:AF$70)-SUM(AI$70:AK$70)-AN$70)/1000)-SUM(Z65:AB65)-SUM(AD65:AF65)-SUM(AI65:AK65))</f>
        <v>#DIV/0!</v>
      </c>
      <c r="AO65" s="185" t="e">
        <f>IF(AO$34-AO$70&lt;0,0,($AT65*(SUM(Z$34:AB$34)+SUM(AD$34:AF$34)+SUM(AI$34:AK$34)+SUM(AN$34:AO$34)-SUM(Z$70:AB$70)-SUM(AD$70:AF$70)-SUM(AI$70:AK$70)-SUM(AN$70:AO$70))/1000)-SUM(Z65:AB65)-SUM(AD65:AF65)-SUM(AI65:AK65)-AN65)</f>
        <v>#DIV/0!</v>
      </c>
      <c r="AP65" s="185" t="e">
        <f>IF(AP$34-AP$70&lt;0,0,($AT65*(SUM(Z$34:AB$34)+SUM(AD$34:AF$34)+SUM(AI$34:AK$34)+SUM(AN$34:AP$34)-SUM(Z$70:AB$70)-SUM(AD$70:AF$70)-SUM(AI$70:AK$70)-SUM(AN$70:AP$70))/1000)-SUM(Z65:AB65)-SUM(AD65:AF65)-SUM(AI65:AK65)-SUM(AN65:AO65))</f>
        <v>#DIV/0!</v>
      </c>
      <c r="AQ65" s="163" t="e">
        <f>SUM(AN65:AP65)</f>
        <v>#DIV/0!</v>
      </c>
      <c r="AR65" s="459" t="e">
        <f>U37*12/1000</f>
        <v>#REF!</v>
      </c>
      <c r="AS65" s="297" t="e">
        <f>AQ65+AM65-AR65</f>
        <v>#DIV/0!</v>
      </c>
      <c r="AT65" s="298" t="e">
        <f>AR65/(AR$34-AR$70)*1000</f>
        <v>#REF!</v>
      </c>
      <c r="AU65" s="299" t="e">
        <f>AC65+AG65+AL65+AQ65-AR65</f>
        <v>#DIV/0!</v>
      </c>
    </row>
    <row r="66" spans="3:47" s="303" customFormat="1" ht="32.25" customHeight="1">
      <c r="C66" s="130" t="s">
        <v>8</v>
      </c>
      <c r="D66" s="130" t="s">
        <v>5</v>
      </c>
      <c r="E66" s="304">
        <v>0</v>
      </c>
      <c r="F66" s="301"/>
      <c r="G66" s="302">
        <f>E66</f>
        <v>0</v>
      </c>
      <c r="H66" s="294"/>
      <c r="I66" s="294"/>
      <c r="L66" s="796" t="s">
        <v>9</v>
      </c>
      <c r="M66" s="797"/>
      <c r="N66" s="797"/>
      <c r="O66" s="798"/>
      <c r="P66" s="282">
        <f>P46</f>
        <v>0.3</v>
      </c>
      <c r="Q66" s="283"/>
      <c r="R66" s="283"/>
      <c r="S66" s="284"/>
      <c r="T66" s="181" t="e">
        <f>T60*$P$46</f>
        <v>#DIV/0!</v>
      </c>
      <c r="U66" s="181" t="e">
        <f>U60*$P$46</f>
        <v>#DIV/0!</v>
      </c>
      <c r="V66" s="181" t="e">
        <f t="shared" si="12"/>
        <v>#DIV/0!</v>
      </c>
      <c r="W66" s="202"/>
      <c r="X66" s="293" t="e">
        <f t="shared" si="13"/>
        <v>#DIV/0!</v>
      </c>
      <c r="Y66" s="300" t="s">
        <v>10</v>
      </c>
      <c r="Z66" s="305" t="e">
        <f>Z64+Z65</f>
        <v>#DIV/0!</v>
      </c>
      <c r="AA66" s="305" t="e">
        <f>AA64+AA65</f>
        <v>#DIV/0!</v>
      </c>
      <c r="AB66" s="305" t="e">
        <f>AB64+AB65</f>
        <v>#DIV/0!</v>
      </c>
      <c r="AC66" s="163" t="e">
        <f>SUM(Z66:AB66)</f>
        <v>#DIV/0!</v>
      </c>
      <c r="AD66" s="305" t="e">
        <f>AD64+AD65</f>
        <v>#DIV/0!</v>
      </c>
      <c r="AE66" s="305" t="e">
        <f>AE64+AE65</f>
        <v>#DIV/0!</v>
      </c>
      <c r="AF66" s="305" t="e">
        <f>AF64+AF65</f>
        <v>#DIV/0!</v>
      </c>
      <c r="AG66" s="296" t="e">
        <f>SUM(AD66:AF66)</f>
        <v>#DIV/0!</v>
      </c>
      <c r="AH66" s="163" t="e">
        <f>AC66+AG66</f>
        <v>#DIV/0!</v>
      </c>
      <c r="AI66" s="305" t="e">
        <f>AI64+AI65</f>
        <v>#DIV/0!</v>
      </c>
      <c r="AJ66" s="305" t="e">
        <f>AJ64+AJ65</f>
        <v>#DIV/0!</v>
      </c>
      <c r="AK66" s="305" t="e">
        <f>AK64+AK65</f>
        <v>#DIV/0!</v>
      </c>
      <c r="AL66" s="296" t="e">
        <f>SUM(AI66:AK66)</f>
        <v>#DIV/0!</v>
      </c>
      <c r="AM66" s="163" t="e">
        <f>AH66+AL66</f>
        <v>#DIV/0!</v>
      </c>
      <c r="AN66" s="305" t="e">
        <f>AN64+AN65</f>
        <v>#DIV/0!</v>
      </c>
      <c r="AO66" s="305" t="e">
        <f>AO64+AO65</f>
        <v>#DIV/0!</v>
      </c>
      <c r="AP66" s="305" t="e">
        <f>AP64+AP65</f>
        <v>#DIV/0!</v>
      </c>
      <c r="AQ66" s="163" t="e">
        <f>SUM(AN66:AP66)</f>
        <v>#DIV/0!</v>
      </c>
      <c r="AR66" s="459" t="e">
        <f>AR64+AR65</f>
        <v>#REF!</v>
      </c>
      <c r="AS66" s="297" t="e">
        <f>AQ66+AM66-AR66</f>
        <v>#DIV/0!</v>
      </c>
      <c r="AT66" s="298" t="e">
        <f>AR66/(AR$34-AR$70)*1000</f>
        <v>#REF!</v>
      </c>
      <c r="AU66" s="299" t="e">
        <f>AC66+AG66+AL66+AQ66-AR66</f>
        <v>#DIV/0!</v>
      </c>
    </row>
    <row r="67" spans="3:47" ht="33.75" customHeight="1">
      <c r="C67" s="130" t="s">
        <v>11</v>
      </c>
      <c r="D67" s="130" t="s">
        <v>5</v>
      </c>
      <c r="E67" s="306">
        <f>(E56-E57)/E52</f>
        <v>40</v>
      </c>
      <c r="F67" s="301"/>
      <c r="G67" s="302">
        <f>E67</f>
        <v>40</v>
      </c>
      <c r="H67" s="294"/>
      <c r="I67" s="294"/>
      <c r="L67" s="812" t="s">
        <v>12</v>
      </c>
      <c r="M67" s="813"/>
      <c r="N67" s="813"/>
      <c r="O67" s="814"/>
      <c r="P67" s="285">
        <f>P68</f>
        <v>0.05</v>
      </c>
      <c r="Q67" s="202"/>
      <c r="R67" s="202"/>
      <c r="S67" s="203"/>
      <c r="T67" s="193" t="e">
        <f>T60*$P$47</f>
        <v>#DIV/0!</v>
      </c>
      <c r="U67" s="193" t="e">
        <f>U60*$P$47</f>
        <v>#DIV/0!</v>
      </c>
      <c r="V67" s="193" t="e">
        <f t="shared" si="12"/>
        <v>#DIV/0!</v>
      </c>
      <c r="W67" s="202"/>
      <c r="X67" s="293" t="e">
        <f t="shared" si="13"/>
        <v>#DIV/0!</v>
      </c>
      <c r="Y67" s="300" t="s">
        <v>505</v>
      </c>
      <c r="Z67" s="307" t="e">
        <f>Z66/Z63*100</f>
        <v>#DIV/0!</v>
      </c>
      <c r="AA67" s="307" t="e">
        <f>AA66/AA63*100</f>
        <v>#DIV/0!</v>
      </c>
      <c r="AB67" s="307" t="e">
        <f>AB66/AB63*100</f>
        <v>#DIV/0!</v>
      </c>
      <c r="AC67" s="200"/>
      <c r="AD67" s="307" t="e">
        <f>AD66/AD63*100</f>
        <v>#DIV/0!</v>
      </c>
      <c r="AE67" s="307" t="e">
        <f>AE66/AE63*100</f>
        <v>#DIV/0!</v>
      </c>
      <c r="AF67" s="307" t="e">
        <f>AF66/AF63*100</f>
        <v>#DIV/0!</v>
      </c>
      <c r="AG67" s="308"/>
      <c r="AH67" s="309"/>
      <c r="AI67" s="307" t="e">
        <f>AI66/AI63*100</f>
        <v>#DIV/0!</v>
      </c>
      <c r="AJ67" s="307" t="e">
        <f>AJ66/AJ63*100</f>
        <v>#DIV/0!</v>
      </c>
      <c r="AK67" s="307" t="e">
        <f>AK66/AK63*100</f>
        <v>#DIV/0!</v>
      </c>
      <c r="AL67" s="308"/>
      <c r="AM67" s="309"/>
      <c r="AN67" s="307" t="e">
        <f>AN66/AN63*100</f>
        <v>#DIV/0!</v>
      </c>
      <c r="AO67" s="307" t="e">
        <f>AO66/AO63*100</f>
        <v>#DIV/0!</v>
      </c>
      <c r="AP67" s="307" t="e">
        <f>AP66/AP63*100</f>
        <v>#DIV/0!</v>
      </c>
      <c r="AQ67" s="200"/>
      <c r="AR67" s="200" t="e">
        <f>AR66/AR63*100</f>
        <v>#REF!</v>
      </c>
      <c r="AS67" s="310"/>
      <c r="AT67" s="311"/>
      <c r="AU67" s="299"/>
    </row>
    <row r="68" spans="3:49" ht="84" customHeight="1">
      <c r="C68" s="130" t="s">
        <v>13</v>
      </c>
      <c r="D68" s="133" t="s">
        <v>14</v>
      </c>
      <c r="E68" s="301">
        <v>383.6</v>
      </c>
      <c r="F68" s="301"/>
      <c r="G68" s="302" t="e">
        <f>V52/1000/29.3</f>
        <v>#DIV/0!</v>
      </c>
      <c r="H68" s="294"/>
      <c r="I68" s="294"/>
      <c r="L68" s="796" t="s">
        <v>15</v>
      </c>
      <c r="M68" s="810"/>
      <c r="N68" s="810"/>
      <c r="O68" s="811"/>
      <c r="P68" s="282">
        <f>P47</f>
        <v>0.05</v>
      </c>
      <c r="Q68" s="283"/>
      <c r="R68" s="283"/>
      <c r="S68" s="284"/>
      <c r="T68" s="181" t="e">
        <f>IF($P$47&gt;5%,5%*T60,T67)</f>
        <v>#DIV/0!</v>
      </c>
      <c r="U68" s="181" t="e">
        <f>IF($P$47&gt;5%,5%*U60,U67)</f>
        <v>#DIV/0!</v>
      </c>
      <c r="V68" s="181" t="e">
        <f t="shared" si="12"/>
        <v>#DIV/0!</v>
      </c>
      <c r="W68" s="202"/>
      <c r="X68" s="312" t="e">
        <f t="shared" si="13"/>
        <v>#DIV/0!</v>
      </c>
      <c r="Y68" s="468" t="s">
        <v>16</v>
      </c>
      <c r="Z68" s="313">
        <v>20</v>
      </c>
      <c r="AA68" s="313">
        <v>60</v>
      </c>
      <c r="AB68" s="313">
        <v>155</v>
      </c>
      <c r="AC68" s="314">
        <f>SUM(Z68:AB68)</f>
        <v>235</v>
      </c>
      <c r="AD68" s="313">
        <v>270</v>
      </c>
      <c r="AE68" s="313">
        <v>224</v>
      </c>
      <c r="AF68" s="313">
        <v>1106</v>
      </c>
      <c r="AG68" s="315">
        <f>SUM(AD68:AF68)</f>
        <v>1600</v>
      </c>
      <c r="AH68" s="314">
        <f>AC68+AG68</f>
        <v>1835</v>
      </c>
      <c r="AI68" s="313">
        <v>252</v>
      </c>
      <c r="AJ68" s="313">
        <v>112</v>
      </c>
      <c r="AK68" s="313">
        <v>56</v>
      </c>
      <c r="AL68" s="315">
        <f>SUM(AI68:AK68)</f>
        <v>420</v>
      </c>
      <c r="AM68" s="314">
        <f>AH68+AL68</f>
        <v>2255</v>
      </c>
      <c r="AN68" s="313">
        <v>0</v>
      </c>
      <c r="AO68" s="313">
        <v>28</v>
      </c>
      <c r="AP68" s="313"/>
      <c r="AQ68" s="314">
        <f>SUM(AN68:AP68)</f>
        <v>28</v>
      </c>
      <c r="AR68" s="314">
        <f>AM68+AQ68</f>
        <v>2283</v>
      </c>
      <c r="AS68" s="316">
        <f>AQ68+AM68-AR68</f>
        <v>0</v>
      </c>
      <c r="AT68" s="317"/>
      <c r="AU68" s="318">
        <f>AC68+AG68+AL68+AQ68-AR68</f>
        <v>0</v>
      </c>
      <c r="AV68" s="799" t="s">
        <v>17</v>
      </c>
      <c r="AW68" s="800"/>
    </row>
    <row r="69" spans="3:47" ht="108" customHeight="1">
      <c r="C69" s="130" t="s">
        <v>18</v>
      </c>
      <c r="D69" s="133" t="s">
        <v>14</v>
      </c>
      <c r="E69" s="301"/>
      <c r="F69" s="319"/>
      <c r="G69" s="302" t="e">
        <f>T52/1000/29.3</f>
        <v>#DIV/0!</v>
      </c>
      <c r="H69" s="294"/>
      <c r="I69" s="124"/>
      <c r="L69" s="820" t="s">
        <v>19</v>
      </c>
      <c r="M69" s="821"/>
      <c r="N69" s="821"/>
      <c r="O69" s="822"/>
      <c r="P69" s="320"/>
      <c r="Q69" s="320"/>
      <c r="R69" s="320"/>
      <c r="S69" s="320"/>
      <c r="T69" s="321"/>
      <c r="U69" s="273" t="e">
        <f>IF(W53&gt;F38*1000,F38*1000,W53)</f>
        <v>#DIV/0!</v>
      </c>
      <c r="V69" s="273" t="e">
        <f>S70+T70+U69</f>
        <v>#DIV/0!</v>
      </c>
      <c r="W69" s="273" t="e">
        <f>-V69</f>
        <v>#DIV/0!</v>
      </c>
      <c r="X69" s="322"/>
      <c r="Y69" s="469" t="s">
        <v>20</v>
      </c>
      <c r="Z69" s="323">
        <v>20</v>
      </c>
      <c r="AA69" s="323">
        <v>60</v>
      </c>
      <c r="AB69" s="323">
        <v>155</v>
      </c>
      <c r="AC69" s="314">
        <f>SUM(Z69:AB69)</f>
        <v>235</v>
      </c>
      <c r="AD69" s="323">
        <v>270</v>
      </c>
      <c r="AE69" s="323">
        <v>224</v>
      </c>
      <c r="AF69" s="323">
        <v>1106</v>
      </c>
      <c r="AG69" s="315">
        <f>SUM(AD69:AF69)</f>
        <v>1600</v>
      </c>
      <c r="AH69" s="314">
        <f>AC69+AG69</f>
        <v>1835</v>
      </c>
      <c r="AI69" s="323">
        <v>252</v>
      </c>
      <c r="AJ69" s="323">
        <v>112</v>
      </c>
      <c r="AK69" s="323">
        <v>56</v>
      </c>
      <c r="AL69" s="315">
        <f>SUM(AI69:AK69)</f>
        <v>420</v>
      </c>
      <c r="AM69" s="314">
        <f>AH69+AL69</f>
        <v>2255</v>
      </c>
      <c r="AN69" s="323">
        <v>0</v>
      </c>
      <c r="AO69" s="323">
        <v>28</v>
      </c>
      <c r="AP69" s="323"/>
      <c r="AQ69" s="314">
        <f>SUM(AN69:AP69)</f>
        <v>28</v>
      </c>
      <c r="AR69" s="314">
        <f>AM69+AQ69</f>
        <v>2283</v>
      </c>
      <c r="AS69" s="316">
        <f>AR69-(E56-E57)</f>
        <v>1243</v>
      </c>
      <c r="AT69" s="324"/>
      <c r="AU69" s="325"/>
    </row>
    <row r="70" spans="3:47" ht="48.75" customHeight="1">
      <c r="C70" s="130" t="s">
        <v>21</v>
      </c>
      <c r="D70" s="301" t="s">
        <v>14</v>
      </c>
      <c r="E70" s="301"/>
      <c r="F70" s="301"/>
      <c r="G70" s="302" t="e">
        <f>U52/1000/29.3</f>
        <v>#DIV/0!</v>
      </c>
      <c r="H70" s="294"/>
      <c r="I70" s="326"/>
      <c r="K70" s="327"/>
      <c r="L70" s="820" t="s">
        <v>22</v>
      </c>
      <c r="M70" s="821"/>
      <c r="N70" s="821"/>
      <c r="O70" s="822"/>
      <c r="P70" s="202">
        <v>0</v>
      </c>
      <c r="Q70" s="202"/>
      <c r="R70" s="202"/>
      <c r="S70" s="202"/>
      <c r="T70" s="328"/>
      <c r="U70" s="329" t="e">
        <f>W53-U69</f>
        <v>#DIV/0!</v>
      </c>
      <c r="V70" s="273" t="e">
        <f>S70+T70+U70</f>
        <v>#DIV/0!</v>
      </c>
      <c r="W70" s="273" t="e">
        <f>-V70</f>
        <v>#DIV/0!</v>
      </c>
      <c r="X70" s="312"/>
      <c r="Y70" s="330" t="s">
        <v>23</v>
      </c>
      <c r="Z70" s="331" t="e">
        <f>Z69/$G54</f>
        <v>#DIV/0!</v>
      </c>
      <c r="AA70" s="331" t="e">
        <f>AA69/$G54</f>
        <v>#DIV/0!</v>
      </c>
      <c r="AB70" s="331" t="e">
        <f>AB69/$G54</f>
        <v>#DIV/0!</v>
      </c>
      <c r="AC70" s="163" t="e">
        <f>SUM(Z70:AB70)</f>
        <v>#DIV/0!</v>
      </c>
      <c r="AD70" s="331" t="e">
        <f>AD69/$G54</f>
        <v>#DIV/0!</v>
      </c>
      <c r="AE70" s="331" t="e">
        <f>AE69/$G54</f>
        <v>#DIV/0!</v>
      </c>
      <c r="AF70" s="331" t="e">
        <f>AF69/$G54</f>
        <v>#DIV/0!</v>
      </c>
      <c r="AG70" s="163" t="e">
        <f>SUM(AD70:AF70)</f>
        <v>#DIV/0!</v>
      </c>
      <c r="AH70" s="163" t="e">
        <f>AC70+AG70</f>
        <v>#DIV/0!</v>
      </c>
      <c r="AI70" s="331" t="e">
        <f>AI69/$G54</f>
        <v>#DIV/0!</v>
      </c>
      <c r="AJ70" s="331" t="e">
        <f>AJ69/$G54</f>
        <v>#DIV/0!</v>
      </c>
      <c r="AK70" s="331" t="e">
        <f>AK69/$G54</f>
        <v>#DIV/0!</v>
      </c>
      <c r="AL70" s="163" t="e">
        <f>SUM(AI70:AK70)</f>
        <v>#DIV/0!</v>
      </c>
      <c r="AM70" s="163" t="e">
        <f>AH70+AL70</f>
        <v>#DIV/0!</v>
      </c>
      <c r="AN70" s="331" t="e">
        <f>AN69/$G54</f>
        <v>#DIV/0!</v>
      </c>
      <c r="AO70" s="331" t="e">
        <f>AO69/$G54</f>
        <v>#DIV/0!</v>
      </c>
      <c r="AP70" s="331" t="e">
        <f>AP69/$G54</f>
        <v>#DIV/0!</v>
      </c>
      <c r="AQ70" s="163" t="e">
        <f>SUM(AN70:AP70)</f>
        <v>#DIV/0!</v>
      </c>
      <c r="AR70" s="470" t="e">
        <f>AR69/$G54</f>
        <v>#DIV/0!</v>
      </c>
      <c r="AS70" s="297" t="e">
        <f>AQ70+AM70-AR70</f>
        <v>#DIV/0!</v>
      </c>
      <c r="AT70" s="311"/>
      <c r="AU70" s="299" t="e">
        <f>AC70+AG70+AL70+AQ70-AR70</f>
        <v>#DIV/0!</v>
      </c>
    </row>
    <row r="71" spans="2:47" ht="61.5" customHeight="1">
      <c r="B71" s="332"/>
      <c r="C71" s="333" t="s">
        <v>24</v>
      </c>
      <c r="D71" s="334"/>
      <c r="E71" s="332"/>
      <c r="F71" s="334"/>
      <c r="G71" s="334"/>
      <c r="H71" s="335"/>
      <c r="I71" s="335"/>
      <c r="J71" s="336"/>
      <c r="K71" s="337"/>
      <c r="L71" s="804"/>
      <c r="M71" s="823"/>
      <c r="N71" s="823"/>
      <c r="O71" s="824"/>
      <c r="P71" s="338"/>
      <c r="Q71" s="339"/>
      <c r="R71" s="340"/>
      <c r="S71" s="341"/>
      <c r="T71" s="342"/>
      <c r="U71" s="341"/>
      <c r="V71" s="273"/>
      <c r="W71" s="179"/>
      <c r="X71" s="343"/>
      <c r="Y71" s="300" t="s">
        <v>25</v>
      </c>
      <c r="Z71" s="305">
        <f>$AR71/12</f>
        <v>0</v>
      </c>
      <c r="AA71" s="305">
        <f>$AR71/12</f>
        <v>0</v>
      </c>
      <c r="AB71" s="305">
        <f>$AR71/12</f>
        <v>0</v>
      </c>
      <c r="AC71" s="163">
        <f>SUM(Z71:AB71)</f>
        <v>0</v>
      </c>
      <c r="AD71" s="305">
        <f>$AR71/12</f>
        <v>0</v>
      </c>
      <c r="AE71" s="305">
        <f>$AR71/12</f>
        <v>0</v>
      </c>
      <c r="AF71" s="305">
        <f>$AR71/12</f>
        <v>0</v>
      </c>
      <c r="AG71" s="296">
        <f>SUM(AD71:AF71)</f>
        <v>0</v>
      </c>
      <c r="AH71" s="163">
        <f>AC71+AG71</f>
        <v>0</v>
      </c>
      <c r="AI71" s="305">
        <f>$AR71/12</f>
        <v>0</v>
      </c>
      <c r="AJ71" s="305">
        <f>$AR71/12</f>
        <v>0</v>
      </c>
      <c r="AK71" s="305">
        <f>$AR71/12</f>
        <v>0</v>
      </c>
      <c r="AL71" s="296">
        <f>SUM(AI71:AK71)</f>
        <v>0</v>
      </c>
      <c r="AM71" s="163">
        <f>AH71+AL71</f>
        <v>0</v>
      </c>
      <c r="AN71" s="305">
        <f>$AR71/12</f>
        <v>0</v>
      </c>
      <c r="AO71" s="305">
        <f>$AR71/12</f>
        <v>0</v>
      </c>
      <c r="AP71" s="305">
        <f>$AR71/12</f>
        <v>0</v>
      </c>
      <c r="AQ71" s="163">
        <f>SUM(AN71:AP71)</f>
        <v>0</v>
      </c>
      <c r="AR71" s="457">
        <f>U39*12/1000</f>
        <v>0</v>
      </c>
      <c r="AS71" s="297">
        <f>AQ71+AM71-AR71</f>
        <v>0</v>
      </c>
      <c r="AT71" s="311"/>
      <c r="AU71" s="299">
        <f>AC71+AG71+AL71+AQ71-AR71</f>
        <v>0</v>
      </c>
    </row>
    <row r="72" spans="2:47" ht="149.25" customHeight="1">
      <c r="B72" s="177" t="s">
        <v>26</v>
      </c>
      <c r="C72" s="344" t="s">
        <v>429</v>
      </c>
      <c r="D72" s="141" t="e">
        <f>#REF!</f>
        <v>#REF!</v>
      </c>
      <c r="E72" s="471" t="e">
        <f>#REF!</f>
        <v>#REF!</v>
      </c>
      <c r="F72" s="141" t="e">
        <f>#REF!</f>
        <v>#REF!</v>
      </c>
      <c r="G72" s="141" t="e">
        <f>#REF!</f>
        <v>#REF!</v>
      </c>
      <c r="H72" s="141" t="e">
        <f>#REF!</f>
        <v>#REF!</v>
      </c>
      <c r="I72" s="471" t="e">
        <f>#REF!</f>
        <v>#REF!</v>
      </c>
      <c r="J72" s="471" t="e">
        <f>#REF!</f>
        <v>#REF!</v>
      </c>
      <c r="K72" s="141" t="e">
        <f>#REF!</f>
        <v>#REF!</v>
      </c>
      <c r="L72" s="471" t="e">
        <f>#REF!</f>
        <v>#REF!</v>
      </c>
      <c r="M72" s="141" t="e">
        <f>#REF!</f>
        <v>#REF!</v>
      </c>
      <c r="N72" s="141" t="e">
        <f>#REF!</f>
        <v>#REF!</v>
      </c>
      <c r="O72" s="141" t="e">
        <f>#REF!</f>
        <v>#REF!</v>
      </c>
      <c r="P72" s="141" t="e">
        <f>#REF!</f>
        <v>#REF!</v>
      </c>
      <c r="Q72" s="472"/>
      <c r="R72" s="825" t="s">
        <v>27</v>
      </c>
      <c r="S72" s="826"/>
      <c r="T72" s="826"/>
      <c r="U72" s="826"/>
      <c r="V72" s="827" t="s">
        <v>28</v>
      </c>
      <c r="W72" s="828"/>
      <c r="X72" s="829"/>
      <c r="Y72" s="300" t="s">
        <v>29</v>
      </c>
      <c r="Z72" s="345" t="e">
        <f aca="true" t="shared" si="15" ref="Z72:AR72">Z71/Z63*100</f>
        <v>#DIV/0!</v>
      </c>
      <c r="AA72" s="345" t="e">
        <f t="shared" si="15"/>
        <v>#DIV/0!</v>
      </c>
      <c r="AB72" s="345" t="e">
        <f t="shared" si="15"/>
        <v>#DIV/0!</v>
      </c>
      <c r="AC72" s="345" t="e">
        <f t="shared" si="15"/>
        <v>#DIV/0!</v>
      </c>
      <c r="AD72" s="345" t="e">
        <f t="shared" si="15"/>
        <v>#DIV/0!</v>
      </c>
      <c r="AE72" s="345" t="e">
        <f t="shared" si="15"/>
        <v>#DIV/0!</v>
      </c>
      <c r="AF72" s="345" t="e">
        <f t="shared" si="15"/>
        <v>#DIV/0!</v>
      </c>
      <c r="AG72" s="345" t="e">
        <f t="shared" si="15"/>
        <v>#DIV/0!</v>
      </c>
      <c r="AH72" s="345" t="e">
        <f t="shared" si="15"/>
        <v>#DIV/0!</v>
      </c>
      <c r="AI72" s="345" t="e">
        <f t="shared" si="15"/>
        <v>#DIV/0!</v>
      </c>
      <c r="AJ72" s="345" t="e">
        <f t="shared" si="15"/>
        <v>#DIV/0!</v>
      </c>
      <c r="AK72" s="345" t="e">
        <f t="shared" si="15"/>
        <v>#DIV/0!</v>
      </c>
      <c r="AL72" s="345" t="e">
        <f t="shared" si="15"/>
        <v>#DIV/0!</v>
      </c>
      <c r="AM72" s="345" t="e">
        <f t="shared" si="15"/>
        <v>#DIV/0!</v>
      </c>
      <c r="AN72" s="345" t="e">
        <f t="shared" si="15"/>
        <v>#DIV/0!</v>
      </c>
      <c r="AO72" s="345" t="e">
        <f t="shared" si="15"/>
        <v>#DIV/0!</v>
      </c>
      <c r="AP72" s="345" t="e">
        <f t="shared" si="15"/>
        <v>#DIV/0!</v>
      </c>
      <c r="AQ72" s="345" t="e">
        <f t="shared" si="15"/>
        <v>#DIV/0!</v>
      </c>
      <c r="AR72" s="473" t="e">
        <f t="shared" si="15"/>
        <v>#DIV/0!</v>
      </c>
      <c r="AS72" s="346"/>
      <c r="AT72" s="311"/>
      <c r="AU72" s="299"/>
    </row>
    <row r="73" spans="2:47" ht="90.75" customHeight="1">
      <c r="B73" s="177"/>
      <c r="C73" s="344"/>
      <c r="D73" s="344"/>
      <c r="E73" s="347"/>
      <c r="F73" s="474">
        <f>C73</f>
        <v>0</v>
      </c>
      <c r="G73" s="474">
        <f>E73+F73</f>
        <v>0</v>
      </c>
      <c r="H73" s="474" t="e">
        <f>C73+D73-M73</f>
        <v>#REF!</v>
      </c>
      <c r="I73" s="347" t="e">
        <f>#REF!+#REF!</f>
        <v>#REF!</v>
      </c>
      <c r="J73" s="347" t="e">
        <f>#REF!+#REF!</f>
        <v>#REF!</v>
      </c>
      <c r="K73" s="475" t="e">
        <f>I73-J73</f>
        <v>#REF!</v>
      </c>
      <c r="L73" s="347" t="e">
        <f>#REF!+#REF!</f>
        <v>#REF!</v>
      </c>
      <c r="M73" s="476" t="e">
        <f>G73+J73</f>
        <v>#REF!</v>
      </c>
      <c r="N73" s="477" t="e">
        <f>H73-K73</f>
        <v>#REF!</v>
      </c>
      <c r="O73" s="478" t="e">
        <f>-M73+F73-H73</f>
        <v>#REF!</v>
      </c>
      <c r="P73" s="479" t="e">
        <f>O73-M73+F73-H73-K73</f>
        <v>#REF!</v>
      </c>
      <c r="Q73" s="480"/>
      <c r="R73" s="348"/>
      <c r="S73" s="349" t="s">
        <v>30</v>
      </c>
      <c r="T73" s="349" t="s">
        <v>31</v>
      </c>
      <c r="U73" s="349" t="s">
        <v>196</v>
      </c>
      <c r="V73" s="349" t="s">
        <v>30</v>
      </c>
      <c r="W73" s="349" t="s">
        <v>31</v>
      </c>
      <c r="X73" s="349" t="s">
        <v>196</v>
      </c>
      <c r="Y73" s="481" t="s">
        <v>32</v>
      </c>
      <c r="Z73" s="350" t="e">
        <f>$AR71/$AR70*Z70</f>
        <v>#DIV/0!</v>
      </c>
      <c r="AA73" s="350" t="e">
        <f>$AR71/$AR70*AA70</f>
        <v>#DIV/0!</v>
      </c>
      <c r="AB73" s="350" t="e">
        <f>$AR71/$AR70*AB70</f>
        <v>#DIV/0!</v>
      </c>
      <c r="AC73" s="163" t="e">
        <f>SUM(Z73:AB73)</f>
        <v>#DIV/0!</v>
      </c>
      <c r="AD73" s="350" t="e">
        <f>$AR71/$AR70*AD70</f>
        <v>#DIV/0!</v>
      </c>
      <c r="AE73" s="350" t="e">
        <f>$AR71/$AR70*AE70</f>
        <v>#DIV/0!</v>
      </c>
      <c r="AF73" s="350" t="e">
        <f>$AR71/$AR70*AF70</f>
        <v>#DIV/0!</v>
      </c>
      <c r="AG73" s="296" t="e">
        <f>SUM(AD73:AF73)</f>
        <v>#DIV/0!</v>
      </c>
      <c r="AH73" s="163" t="e">
        <f>AC73+AG73</f>
        <v>#DIV/0!</v>
      </c>
      <c r="AI73" s="350" t="e">
        <f>$AR71/$AR70*AI70</f>
        <v>#DIV/0!</v>
      </c>
      <c r="AJ73" s="350" t="e">
        <f>$AR71/$AR70*AJ70</f>
        <v>#DIV/0!</v>
      </c>
      <c r="AK73" s="350" t="e">
        <f>$AR71/$AR70*AK70</f>
        <v>#DIV/0!</v>
      </c>
      <c r="AL73" s="296" t="e">
        <f>SUM(AI73:AK73)</f>
        <v>#DIV/0!</v>
      </c>
      <c r="AM73" s="163" t="e">
        <f>AH73+AL73</f>
        <v>#DIV/0!</v>
      </c>
      <c r="AN73" s="350" t="e">
        <f>$AR71/$AR70*AN70</f>
        <v>#DIV/0!</v>
      </c>
      <c r="AO73" s="350" t="e">
        <f>$AR71/$AR70*AO70</f>
        <v>#DIV/0!</v>
      </c>
      <c r="AP73" s="350" t="e">
        <f>$AR71/$AR70*AP70</f>
        <v>#DIV/0!</v>
      </c>
      <c r="AQ73" s="163" t="e">
        <f>SUM(AN73:AP73)</f>
        <v>#DIV/0!</v>
      </c>
      <c r="AR73" s="459" t="e">
        <f>AM73+AQ73</f>
        <v>#DIV/0!</v>
      </c>
      <c r="AS73" s="351" t="e">
        <f>AC73+AG73+AL73+AQ73-AR73</f>
        <v>#DIV/0!</v>
      </c>
      <c r="AT73" s="324"/>
      <c r="AU73" s="325"/>
    </row>
    <row r="74" spans="2:47" ht="36" customHeight="1">
      <c r="B74" s="177" t="s">
        <v>454</v>
      </c>
      <c r="C74" s="344"/>
      <c r="D74" s="474">
        <v>328.5</v>
      </c>
      <c r="E74" s="347"/>
      <c r="F74" s="482"/>
      <c r="G74" s="474">
        <f>E74+F74</f>
        <v>0</v>
      </c>
      <c r="H74" s="474" t="e">
        <f aca="true" t="shared" si="16" ref="H74:H85">H73+D74-M74</f>
        <v>#REF!</v>
      </c>
      <c r="I74" s="347" t="e">
        <f>#REF!+#REF!</f>
        <v>#REF!</v>
      </c>
      <c r="J74" s="347" t="e">
        <f>#REF!+#REF!</f>
        <v>#REF!</v>
      </c>
      <c r="K74" s="475" t="e">
        <f aca="true" t="shared" si="17" ref="K74:K85">K73+I74-J74</f>
        <v>#REF!</v>
      </c>
      <c r="L74" s="347" t="e">
        <f>#REF!+#REF!</f>
        <v>#REF!</v>
      </c>
      <c r="M74" s="476" t="e">
        <f aca="true" t="shared" si="18" ref="M74:M84">G74+J74</f>
        <v>#REF!</v>
      </c>
      <c r="N74" s="477" t="e">
        <f>H74-K74</f>
        <v>#REF!</v>
      </c>
      <c r="O74" s="478" t="e">
        <f aca="true" t="shared" si="19" ref="O74:O86">D74+I74-J74</f>
        <v>#REF!</v>
      </c>
      <c r="P74" s="479" t="e">
        <f aca="true" t="shared" si="20" ref="P74:P85">O74-M74+K73+F74-H74-K74</f>
        <v>#REF!</v>
      </c>
      <c r="Q74" s="480"/>
      <c r="R74" s="352" t="s">
        <v>33</v>
      </c>
      <c r="S74" s="353" t="e">
        <f>AR36</f>
        <v>#REF!</v>
      </c>
      <c r="T74" s="353" t="e">
        <f>AR64</f>
        <v>#REF!</v>
      </c>
      <c r="U74" s="353" t="e">
        <f aca="true" t="shared" si="21" ref="U74:U87">S74+T74</f>
        <v>#REF!</v>
      </c>
      <c r="V74" s="354" t="e">
        <f>S74/#REF!*100</f>
        <v>#REF!</v>
      </c>
      <c r="W74" s="354" t="e">
        <f>T74/#REF!*100</f>
        <v>#REF!</v>
      </c>
      <c r="X74" s="354" t="e">
        <f>U74/#REF!*100</f>
        <v>#REF!</v>
      </c>
      <c r="Y74" s="300" t="s">
        <v>34</v>
      </c>
      <c r="Z74" s="355" t="e">
        <f>Z77+Z80+Z82+Z84+Z86</f>
        <v>#DIV/0!</v>
      </c>
      <c r="AA74" s="355" t="e">
        <f>AA77+AA80+AA82+AA84+AA86</f>
        <v>#DIV/0!</v>
      </c>
      <c r="AB74" s="355" t="e">
        <f>AB77+AB80+AB82+AB84+AB86</f>
        <v>#DIV/0!</v>
      </c>
      <c r="AC74" s="163" t="e">
        <f>SUM(Z74:AB74)</f>
        <v>#DIV/0!</v>
      </c>
      <c r="AD74" s="355" t="e">
        <f>AD77+AD80+AD82+AD84+AD86</f>
        <v>#DIV/0!</v>
      </c>
      <c r="AE74" s="355" t="e">
        <f>AE77+AE80+AE82+AE84+AE86</f>
        <v>#DIV/0!</v>
      </c>
      <c r="AF74" s="355" t="e">
        <f>AF77+AF80+AF82+AF84+AF86</f>
        <v>#DIV/0!</v>
      </c>
      <c r="AG74" s="296" t="e">
        <f>SUM(AD74:AF74)</f>
        <v>#DIV/0!</v>
      </c>
      <c r="AH74" s="163" t="e">
        <f>AC74+AG74</f>
        <v>#DIV/0!</v>
      </c>
      <c r="AI74" s="355" t="e">
        <f>AI77+AI80+AI82+AI84+AI86</f>
        <v>#DIV/0!</v>
      </c>
      <c r="AJ74" s="355" t="e">
        <f>AJ77+AJ80+AJ82+AJ84+AJ86</f>
        <v>#DIV/0!</v>
      </c>
      <c r="AK74" s="355" t="e">
        <f>AK77+AK80+AK82+AK84+AK86</f>
        <v>#DIV/0!</v>
      </c>
      <c r="AL74" s="296" t="e">
        <f>SUM(AI74:AK74)</f>
        <v>#DIV/0!</v>
      </c>
      <c r="AM74" s="163" t="e">
        <f>AH74+AL74</f>
        <v>#DIV/0!</v>
      </c>
      <c r="AN74" s="355" t="e">
        <f>AN77+AN80+AN82+AN84+AN86</f>
        <v>#DIV/0!</v>
      </c>
      <c r="AO74" s="355" t="e">
        <f>AO77+AO80+AO82+AO84+AO86</f>
        <v>#DIV/0!</v>
      </c>
      <c r="AP74" s="355" t="e">
        <f>AP77+AP80+AP82+AP84+AP86</f>
        <v>#DIV/0!</v>
      </c>
      <c r="AQ74" s="163" t="e">
        <f>SUM(AN74:AP74)</f>
        <v>#DIV/0!</v>
      </c>
      <c r="AR74" s="163" t="e">
        <f>AR63-AR66-AR71</f>
        <v>#DIV/0!</v>
      </c>
      <c r="AS74" s="297" t="e">
        <f>AQ74+AM74-AR74</f>
        <v>#DIV/0!</v>
      </c>
      <c r="AT74" s="298" t="e">
        <f>AR74/(AR$34-AR$70)*1000</f>
        <v>#DIV/0!</v>
      </c>
      <c r="AU74" s="299" t="e">
        <f>AC74+AG74+AL74+AQ74-AR74</f>
        <v>#DIV/0!</v>
      </c>
    </row>
    <row r="75" spans="2:47" ht="25.5" customHeight="1">
      <c r="B75" s="177" t="s">
        <v>455</v>
      </c>
      <c r="C75" s="344"/>
      <c r="D75" s="474">
        <v>323.4</v>
      </c>
      <c r="E75" s="347"/>
      <c r="F75" s="474" t="e">
        <f>H74</f>
        <v>#REF!</v>
      </c>
      <c r="G75" s="474" t="e">
        <f aca="true" t="shared" si="22" ref="G75:G85">E75+F75</f>
        <v>#REF!</v>
      </c>
      <c r="H75" s="474" t="e">
        <f t="shared" si="16"/>
        <v>#REF!</v>
      </c>
      <c r="I75" s="347" t="e">
        <f>#REF!+#REF!</f>
        <v>#REF!</v>
      </c>
      <c r="J75" s="347" t="e">
        <f>#REF!+#REF!</f>
        <v>#REF!</v>
      </c>
      <c r="K75" s="475" t="e">
        <f t="shared" si="17"/>
        <v>#REF!</v>
      </c>
      <c r="L75" s="347" t="e">
        <f>#REF!+#REF!</f>
        <v>#REF!</v>
      </c>
      <c r="M75" s="476" t="e">
        <f t="shared" si="18"/>
        <v>#REF!</v>
      </c>
      <c r="N75" s="477" t="e">
        <f aca="true" t="shared" si="23" ref="N75:N85">H75-K75</f>
        <v>#REF!</v>
      </c>
      <c r="O75" s="478" t="e">
        <f t="shared" si="19"/>
        <v>#REF!</v>
      </c>
      <c r="P75" s="479" t="e">
        <f t="shared" si="20"/>
        <v>#REF!</v>
      </c>
      <c r="Q75" s="480"/>
      <c r="R75" s="356" t="s">
        <v>35</v>
      </c>
      <c r="S75" s="357" t="e">
        <f>S74/1.3</f>
        <v>#REF!</v>
      </c>
      <c r="T75" s="357" t="e">
        <f>T74/1.3</f>
        <v>#REF!</v>
      </c>
      <c r="U75" s="353" t="e">
        <f t="shared" si="21"/>
        <v>#REF!</v>
      </c>
      <c r="V75" s="354" t="e">
        <f>S75/#REF!*100</f>
        <v>#REF!</v>
      </c>
      <c r="W75" s="354" t="e">
        <f>T75/#REF!*100</f>
        <v>#REF!</v>
      </c>
      <c r="X75" s="354" t="e">
        <f>U75/#REF!*100</f>
        <v>#REF!</v>
      </c>
      <c r="Y75" s="300" t="s">
        <v>539</v>
      </c>
      <c r="Z75" s="355" t="e">
        <f aca="true" t="shared" si="24" ref="Z75:AR75">Z74/Z63*100</f>
        <v>#DIV/0!</v>
      </c>
      <c r="AA75" s="355" t="e">
        <f t="shared" si="24"/>
        <v>#DIV/0!</v>
      </c>
      <c r="AB75" s="355" t="e">
        <f t="shared" si="24"/>
        <v>#DIV/0!</v>
      </c>
      <c r="AC75" s="355" t="e">
        <f t="shared" si="24"/>
        <v>#DIV/0!</v>
      </c>
      <c r="AD75" s="355" t="e">
        <f t="shared" si="24"/>
        <v>#DIV/0!</v>
      </c>
      <c r="AE75" s="355" t="e">
        <f t="shared" si="24"/>
        <v>#DIV/0!</v>
      </c>
      <c r="AF75" s="355" t="e">
        <f t="shared" si="24"/>
        <v>#DIV/0!</v>
      </c>
      <c r="AG75" s="355" t="e">
        <f t="shared" si="24"/>
        <v>#DIV/0!</v>
      </c>
      <c r="AH75" s="355" t="e">
        <f t="shared" si="24"/>
        <v>#DIV/0!</v>
      </c>
      <c r="AI75" s="355" t="e">
        <f t="shared" si="24"/>
        <v>#DIV/0!</v>
      </c>
      <c r="AJ75" s="355" t="e">
        <f t="shared" si="24"/>
        <v>#DIV/0!</v>
      </c>
      <c r="AK75" s="355" t="e">
        <f t="shared" si="24"/>
        <v>#DIV/0!</v>
      </c>
      <c r="AL75" s="355" t="e">
        <f t="shared" si="24"/>
        <v>#DIV/0!</v>
      </c>
      <c r="AM75" s="355" t="e">
        <f t="shared" si="24"/>
        <v>#DIV/0!</v>
      </c>
      <c r="AN75" s="355" t="e">
        <f t="shared" si="24"/>
        <v>#DIV/0!</v>
      </c>
      <c r="AO75" s="355" t="e">
        <f t="shared" si="24"/>
        <v>#DIV/0!</v>
      </c>
      <c r="AP75" s="355" t="e">
        <f t="shared" si="24"/>
        <v>#DIV/0!</v>
      </c>
      <c r="AQ75" s="355" t="e">
        <f t="shared" si="24"/>
        <v>#DIV/0!</v>
      </c>
      <c r="AR75" s="163" t="e">
        <f t="shared" si="24"/>
        <v>#DIV/0!</v>
      </c>
      <c r="AS75" s="346"/>
      <c r="AT75" s="358"/>
      <c r="AU75" s="299"/>
    </row>
    <row r="76" spans="2:54" ht="108.75" customHeight="1">
      <c r="B76" s="177" t="s">
        <v>456</v>
      </c>
      <c r="C76" s="344"/>
      <c r="D76" s="474">
        <v>325</v>
      </c>
      <c r="E76" s="347"/>
      <c r="F76" s="474" t="e">
        <f aca="true" t="shared" si="25" ref="F76:F85">H75</f>
        <v>#REF!</v>
      </c>
      <c r="G76" s="474" t="e">
        <f t="shared" si="22"/>
        <v>#REF!</v>
      </c>
      <c r="H76" s="474" t="e">
        <f t="shared" si="16"/>
        <v>#REF!</v>
      </c>
      <c r="I76" s="347" t="e">
        <f>#REF!+#REF!</f>
        <v>#REF!</v>
      </c>
      <c r="J76" s="347" t="e">
        <f>#REF!+#REF!</f>
        <v>#REF!</v>
      </c>
      <c r="K76" s="475" t="e">
        <f t="shared" si="17"/>
        <v>#REF!</v>
      </c>
      <c r="L76" s="347" t="e">
        <f>#REF!+#REF!</f>
        <v>#REF!</v>
      </c>
      <c r="M76" s="476" t="e">
        <f t="shared" si="18"/>
        <v>#REF!</v>
      </c>
      <c r="N76" s="477" t="e">
        <f t="shared" si="23"/>
        <v>#REF!</v>
      </c>
      <c r="O76" s="478" t="e">
        <f t="shared" si="19"/>
        <v>#REF!</v>
      </c>
      <c r="P76" s="479" t="e">
        <f t="shared" si="20"/>
        <v>#REF!</v>
      </c>
      <c r="Q76" s="480"/>
      <c r="R76" s="356" t="s">
        <v>36</v>
      </c>
      <c r="S76" s="357" t="e">
        <f>S74-S75</f>
        <v>#REF!</v>
      </c>
      <c r="T76" s="357" t="e">
        <f>T74-T75</f>
        <v>#REF!</v>
      </c>
      <c r="U76" s="353" t="e">
        <f t="shared" si="21"/>
        <v>#REF!</v>
      </c>
      <c r="V76" s="354" t="e">
        <f>S76/#REF!*100</f>
        <v>#REF!</v>
      </c>
      <c r="W76" s="354" t="e">
        <f>T76/#REF!*100</f>
        <v>#REF!</v>
      </c>
      <c r="X76" s="354" t="e">
        <f>U76/#REF!*100</f>
        <v>#REF!</v>
      </c>
      <c r="Y76" s="300" t="s">
        <v>37</v>
      </c>
      <c r="Z76" s="483" t="e">
        <f>AI$34-AI68/$G$54</f>
        <v>#DIV/0!</v>
      </c>
      <c r="AA76" s="484" t="e">
        <f>AJ$34-AJ68/$G$54</f>
        <v>#DIV/0!</v>
      </c>
      <c r="AB76" s="484" t="e">
        <f>AK$34-AK68/$G$54</f>
        <v>#DIV/0!</v>
      </c>
      <c r="AC76" s="485" t="e">
        <f>SUM(Z76:AB76)</f>
        <v>#DIV/0!</v>
      </c>
      <c r="AD76" s="484" t="e">
        <f>AN$34-AN68/$G$54</f>
        <v>#DIV/0!</v>
      </c>
      <c r="AE76" s="484" t="e">
        <f>AO$34-AO68/$G$54</f>
        <v>#DIV/0!</v>
      </c>
      <c r="AF76" s="484" t="e">
        <f>AP$34-AP68/$G$54</f>
        <v>#DIV/0!</v>
      </c>
      <c r="AG76" s="483" t="e">
        <f>SUM(AD76:AF76)</f>
        <v>#DIV/0!</v>
      </c>
      <c r="AH76" s="485" t="e">
        <f>AC76+AG76</f>
        <v>#DIV/0!</v>
      </c>
      <c r="AI76" s="484" t="e">
        <f>Z$34-Z68/$G$54</f>
        <v>#DIV/0!</v>
      </c>
      <c r="AJ76" s="484" t="e">
        <f>AA$34-AA68/$G$54</f>
        <v>#DIV/0!</v>
      </c>
      <c r="AK76" s="484" t="e">
        <f>AB$34-AB68/$G$54</f>
        <v>#DIV/0!</v>
      </c>
      <c r="AL76" s="483" t="e">
        <f>SUM(AI76:AK76)</f>
        <v>#DIV/0!</v>
      </c>
      <c r="AM76" s="485" t="e">
        <f>AH76+AL76</f>
        <v>#DIV/0!</v>
      </c>
      <c r="AN76" s="483" t="e">
        <f>AD$34-AD68/$G$54</f>
        <v>#DIV/0!</v>
      </c>
      <c r="AO76" s="483" t="e">
        <f>AE$34-AE68/$G$54</f>
        <v>#DIV/0!</v>
      </c>
      <c r="AP76" s="484" t="e">
        <f>AF$34-AF68/$G$54</f>
        <v>#DIV/0!</v>
      </c>
      <c r="AQ76" s="163" t="e">
        <f>SUM(AN76:AP76)</f>
        <v>#DIV/0!</v>
      </c>
      <c r="AR76" s="163" t="e">
        <f>AM76+AQ76</f>
        <v>#DIV/0!</v>
      </c>
      <c r="AS76" s="359" t="e">
        <f>AR76-AH76-AL76-AQ76</f>
        <v>#DIV/0!</v>
      </c>
      <c r="AT76" s="486"/>
      <c r="AU76" s="299" t="e">
        <f>AC76+AG76+AL76+AQ76-AR76</f>
        <v>#DIV/0!</v>
      </c>
      <c r="AV76" s="443" t="s">
        <v>544</v>
      </c>
      <c r="AW76" s="815" t="s">
        <v>545</v>
      </c>
      <c r="AX76" s="816"/>
      <c r="AY76" s="816"/>
      <c r="AZ76" s="815" t="s">
        <v>546</v>
      </c>
      <c r="BA76" s="816"/>
      <c r="BB76" s="444" t="s">
        <v>547</v>
      </c>
    </row>
    <row r="77" spans="2:47" ht="72">
      <c r="B77" s="177" t="s">
        <v>458</v>
      </c>
      <c r="C77" s="344"/>
      <c r="D77" s="474">
        <v>341.3</v>
      </c>
      <c r="E77" s="347"/>
      <c r="F77" s="474" t="e">
        <f t="shared" si="25"/>
        <v>#REF!</v>
      </c>
      <c r="G77" s="474" t="e">
        <f t="shared" si="22"/>
        <v>#REF!</v>
      </c>
      <c r="H77" s="474" t="e">
        <f t="shared" si="16"/>
        <v>#REF!</v>
      </c>
      <c r="I77" s="347" t="e">
        <f>#REF!+#REF!</f>
        <v>#REF!</v>
      </c>
      <c r="J77" s="347" t="e">
        <f>#REF!+#REF!</f>
        <v>#REF!</v>
      </c>
      <c r="K77" s="475" t="e">
        <f t="shared" si="17"/>
        <v>#REF!</v>
      </c>
      <c r="L77" s="347" t="e">
        <f>#REF!+#REF!</f>
        <v>#REF!</v>
      </c>
      <c r="M77" s="476" t="e">
        <f t="shared" si="18"/>
        <v>#REF!</v>
      </c>
      <c r="N77" s="477" t="e">
        <f t="shared" si="23"/>
        <v>#REF!</v>
      </c>
      <c r="O77" s="478" t="e">
        <f t="shared" si="19"/>
        <v>#REF!</v>
      </c>
      <c r="P77" s="479" t="e">
        <f t="shared" si="20"/>
        <v>#REF!</v>
      </c>
      <c r="Q77" s="480"/>
      <c r="R77" s="352" t="s">
        <v>38</v>
      </c>
      <c r="S77" s="353" t="e">
        <f>AR37</f>
        <v>#REF!</v>
      </c>
      <c r="T77" s="353" t="e">
        <f>AR65</f>
        <v>#REF!</v>
      </c>
      <c r="U77" s="353" t="e">
        <f t="shared" si="21"/>
        <v>#REF!</v>
      </c>
      <c r="V77" s="354" t="e">
        <f>S77/#REF!*100</f>
        <v>#REF!</v>
      </c>
      <c r="W77" s="354" t="e">
        <f>T77/#REF!*100</f>
        <v>#REF!</v>
      </c>
      <c r="X77" s="354" t="e">
        <f>U77/#REF!*100</f>
        <v>#REF!</v>
      </c>
      <c r="Y77" s="300" t="s">
        <v>39</v>
      </c>
      <c r="Z77" s="262" t="e">
        <f>IF(Z$76&lt;0,0,($AT77*Z$76)/1000)</f>
        <v>#DIV/0!</v>
      </c>
      <c r="AA77" s="262" t="e">
        <f>IF(AA$76&lt;0,0,($AT77*AA$76)/1000)</f>
        <v>#DIV/0!</v>
      </c>
      <c r="AB77" s="262" t="e">
        <f>IF(AB$76&lt;0,0,($AT77*AB$76)/1000)</f>
        <v>#DIV/0!</v>
      </c>
      <c r="AC77" s="163" t="e">
        <f>SUM(Z77:AB77)</f>
        <v>#DIV/0!</v>
      </c>
      <c r="AD77" s="262" t="e">
        <f>IF(AD$76&lt;0,0,($AT77*AD$76)/1000)</f>
        <v>#DIV/0!</v>
      </c>
      <c r="AE77" s="262" t="e">
        <f>IF(AE$76&lt;0,0,($AT77*AE$76)/1000)</f>
        <v>#DIV/0!</v>
      </c>
      <c r="AF77" s="262" t="e">
        <f>IF(AF$76&lt;0,0,($AT77*AF$76)/1000)</f>
        <v>#DIV/0!</v>
      </c>
      <c r="AG77" s="296" t="e">
        <f>SUM(AD77:AF77)</f>
        <v>#DIV/0!</v>
      </c>
      <c r="AH77" s="163" t="e">
        <f>AC77+AG77</f>
        <v>#DIV/0!</v>
      </c>
      <c r="AI77" s="262" t="e">
        <f>IF(AI$76&lt;0,0,($AT77*AI$76)/1000)</f>
        <v>#DIV/0!</v>
      </c>
      <c r="AJ77" s="262" t="e">
        <f>IF(AJ$76&lt;0,0,($AT77*AJ$76)/1000)</f>
        <v>#DIV/0!</v>
      </c>
      <c r="AK77" s="262" t="e">
        <f>IF(AK$76&lt;0,0,($AT77*AK$76)/1000)</f>
        <v>#DIV/0!</v>
      </c>
      <c r="AL77" s="296" t="e">
        <f>SUM(AI77:AK77)</f>
        <v>#DIV/0!</v>
      </c>
      <c r="AM77" s="163" t="e">
        <f>AH77+AL77</f>
        <v>#DIV/0!</v>
      </c>
      <c r="AN77" s="262" t="e">
        <f>IF(AN$76&lt;0,0,($AT77*AN$76)/1000)</f>
        <v>#DIV/0!</v>
      </c>
      <c r="AO77" s="262" t="e">
        <f>IF(AO$76&lt;0,0,($AT77*AO$76)/1000)</f>
        <v>#DIV/0!</v>
      </c>
      <c r="AP77" s="262" t="e">
        <f>IF(AP$76&lt;0,0,($AT77*AP$76)/1000)</f>
        <v>#DIV/0!</v>
      </c>
      <c r="AQ77" s="163" t="e">
        <f>SUM(AN77:AP77)</f>
        <v>#DIV/0!</v>
      </c>
      <c r="AR77" s="487" t="e">
        <f>AR74-AR80-AR82-AR84-AR86</f>
        <v>#DIV/0!</v>
      </c>
      <c r="AS77" s="297" t="e">
        <f>AQ77+AM77-AR77</f>
        <v>#DIV/0!</v>
      </c>
      <c r="AT77" s="298" t="e">
        <f>AR77/AR$76*1000</f>
        <v>#DIV/0!</v>
      </c>
      <c r="AU77" s="299" t="e">
        <f>AC77+AG77+AL77+AQ77-AR77</f>
        <v>#DIV/0!</v>
      </c>
    </row>
    <row r="78" spans="2:47" ht="24.75" customHeight="1">
      <c r="B78" s="177" t="s">
        <v>459</v>
      </c>
      <c r="C78" s="344"/>
      <c r="D78" s="474">
        <v>302.4</v>
      </c>
      <c r="E78" s="347"/>
      <c r="F78" s="474" t="e">
        <f t="shared" si="25"/>
        <v>#REF!</v>
      </c>
      <c r="G78" s="474" t="e">
        <f t="shared" si="22"/>
        <v>#REF!</v>
      </c>
      <c r="H78" s="474" t="e">
        <f t="shared" si="16"/>
        <v>#REF!</v>
      </c>
      <c r="I78" s="347" t="e">
        <f>#REF!+#REF!</f>
        <v>#REF!</v>
      </c>
      <c r="J78" s="347" t="e">
        <f>#REF!+#REF!</f>
        <v>#REF!</v>
      </c>
      <c r="K78" s="475" t="e">
        <f t="shared" si="17"/>
        <v>#REF!</v>
      </c>
      <c r="L78" s="347" t="e">
        <f>#REF!+#REF!</f>
        <v>#REF!</v>
      </c>
      <c r="M78" s="476" t="e">
        <f t="shared" si="18"/>
        <v>#REF!</v>
      </c>
      <c r="N78" s="477" t="e">
        <f t="shared" si="23"/>
        <v>#REF!</v>
      </c>
      <c r="O78" s="478" t="e">
        <f t="shared" si="19"/>
        <v>#REF!</v>
      </c>
      <c r="P78" s="479" t="e">
        <f t="shared" si="20"/>
        <v>#REF!</v>
      </c>
      <c r="Q78" s="480"/>
      <c r="R78" s="356" t="s">
        <v>40</v>
      </c>
      <c r="S78" s="357" t="e">
        <f>S77/1.3</f>
        <v>#REF!</v>
      </c>
      <c r="T78" s="357" t="e">
        <f>T77/1.3</f>
        <v>#REF!</v>
      </c>
      <c r="U78" s="353" t="e">
        <f t="shared" si="21"/>
        <v>#REF!</v>
      </c>
      <c r="V78" s="354" t="e">
        <f>S78/#REF!*100</f>
        <v>#REF!</v>
      </c>
      <c r="W78" s="354" t="e">
        <f>T78/#REF!*100</f>
        <v>#REF!</v>
      </c>
      <c r="X78" s="354" t="e">
        <f>U78/#REF!*100</f>
        <v>#REF!</v>
      </c>
      <c r="Y78" s="300" t="s">
        <v>554</v>
      </c>
      <c r="Z78" s="355" t="e">
        <f aca="true" t="shared" si="26" ref="Z78:AQ78">Z77/Z$74*100</f>
        <v>#DIV/0!</v>
      </c>
      <c r="AA78" s="355" t="e">
        <f t="shared" si="26"/>
        <v>#DIV/0!</v>
      </c>
      <c r="AB78" s="355" t="e">
        <f t="shared" si="26"/>
        <v>#DIV/0!</v>
      </c>
      <c r="AC78" s="355" t="e">
        <f t="shared" si="26"/>
        <v>#DIV/0!</v>
      </c>
      <c r="AD78" s="355" t="e">
        <f t="shared" si="26"/>
        <v>#DIV/0!</v>
      </c>
      <c r="AE78" s="355" t="e">
        <f t="shared" si="26"/>
        <v>#DIV/0!</v>
      </c>
      <c r="AF78" s="355" t="e">
        <f t="shared" si="26"/>
        <v>#DIV/0!</v>
      </c>
      <c r="AG78" s="355" t="e">
        <f t="shared" si="26"/>
        <v>#DIV/0!</v>
      </c>
      <c r="AH78" s="355" t="e">
        <f t="shared" si="26"/>
        <v>#DIV/0!</v>
      </c>
      <c r="AI78" s="355" t="e">
        <f t="shared" si="26"/>
        <v>#DIV/0!</v>
      </c>
      <c r="AJ78" s="355" t="e">
        <f t="shared" si="26"/>
        <v>#DIV/0!</v>
      </c>
      <c r="AK78" s="355" t="e">
        <f t="shared" si="26"/>
        <v>#DIV/0!</v>
      </c>
      <c r="AL78" s="355" t="e">
        <f t="shared" si="26"/>
        <v>#DIV/0!</v>
      </c>
      <c r="AM78" s="355" t="e">
        <f t="shared" si="26"/>
        <v>#DIV/0!</v>
      </c>
      <c r="AN78" s="355" t="e">
        <f t="shared" si="26"/>
        <v>#DIV/0!</v>
      </c>
      <c r="AO78" s="355" t="e">
        <f t="shared" si="26"/>
        <v>#DIV/0!</v>
      </c>
      <c r="AP78" s="355" t="e">
        <f t="shared" si="26"/>
        <v>#DIV/0!</v>
      </c>
      <c r="AQ78" s="355" t="e">
        <f t="shared" si="26"/>
        <v>#DIV/0!</v>
      </c>
      <c r="AR78" s="473" t="e">
        <f>AR77/AR74*100</f>
        <v>#DIV/0!</v>
      </c>
      <c r="AS78" s="346"/>
      <c r="AT78" s="358"/>
      <c r="AU78" s="299"/>
    </row>
    <row r="79" spans="2:47" ht="100.5" customHeight="1">
      <c r="B79" s="177" t="s">
        <v>460</v>
      </c>
      <c r="C79" s="344"/>
      <c r="D79" s="474">
        <v>306.4</v>
      </c>
      <c r="E79" s="347"/>
      <c r="F79" s="474" t="e">
        <f t="shared" si="25"/>
        <v>#REF!</v>
      </c>
      <c r="G79" s="474" t="e">
        <f t="shared" si="22"/>
        <v>#REF!</v>
      </c>
      <c r="H79" s="474" t="e">
        <f t="shared" si="16"/>
        <v>#REF!</v>
      </c>
      <c r="I79" s="347" t="e">
        <f>#REF!+#REF!</f>
        <v>#REF!</v>
      </c>
      <c r="J79" s="347" t="e">
        <f>#REF!+#REF!</f>
        <v>#REF!</v>
      </c>
      <c r="K79" s="475" t="e">
        <f t="shared" si="17"/>
        <v>#REF!</v>
      </c>
      <c r="L79" s="347" t="e">
        <f>#REF!+#REF!</f>
        <v>#REF!</v>
      </c>
      <c r="M79" s="476" t="e">
        <f t="shared" si="18"/>
        <v>#REF!</v>
      </c>
      <c r="N79" s="477" t="e">
        <f t="shared" si="23"/>
        <v>#REF!</v>
      </c>
      <c r="O79" s="478" t="e">
        <f t="shared" si="19"/>
        <v>#REF!</v>
      </c>
      <c r="P79" s="479" t="e">
        <f t="shared" si="20"/>
        <v>#REF!</v>
      </c>
      <c r="Q79" s="480"/>
      <c r="R79" s="356" t="s">
        <v>36</v>
      </c>
      <c r="S79" s="357" t="e">
        <f>S77-S78</f>
        <v>#REF!</v>
      </c>
      <c r="T79" s="357" t="e">
        <f>T77-T78</f>
        <v>#REF!</v>
      </c>
      <c r="U79" s="353" t="e">
        <f t="shared" si="21"/>
        <v>#REF!</v>
      </c>
      <c r="V79" s="354" t="e">
        <f>S79/#REF!*100</f>
        <v>#REF!</v>
      </c>
      <c r="W79" s="354" t="e">
        <f>T79/#REF!*100</f>
        <v>#REF!</v>
      </c>
      <c r="X79" s="354" t="e">
        <f>U79/#REF!*100</f>
        <v>#REF!</v>
      </c>
      <c r="Y79" s="488" t="s">
        <v>41</v>
      </c>
      <c r="Z79" s="489" t="e">
        <f>Z$34-Z68/$G$54</f>
        <v>#DIV/0!</v>
      </c>
      <c r="AA79" s="489" t="e">
        <f>AA$34-AA68/$G$54</f>
        <v>#DIV/0!</v>
      </c>
      <c r="AB79" s="489" t="e">
        <f>AB$34-AB68/$G$54</f>
        <v>#DIV/0!</v>
      </c>
      <c r="AC79" s="490" t="e">
        <f>SUM(Z79:AB79)</f>
        <v>#DIV/0!</v>
      </c>
      <c r="AD79" s="489" t="e">
        <f>AD$34-AD68/$G$54</f>
        <v>#DIV/0!</v>
      </c>
      <c r="AE79" s="489" t="e">
        <f>AE$34-AE68/$G$54</f>
        <v>#DIV/0!</v>
      </c>
      <c r="AF79" s="489" t="e">
        <f>AF$34-AF68/$G$54</f>
        <v>#DIV/0!</v>
      </c>
      <c r="AG79" s="490" t="e">
        <f>SUM(AD79:AF79)</f>
        <v>#DIV/0!</v>
      </c>
      <c r="AH79" s="485" t="e">
        <f>AC79+AG79</f>
        <v>#DIV/0!</v>
      </c>
      <c r="AI79" s="489" t="e">
        <f>AI$34-AI68/$G$54</f>
        <v>#DIV/0!</v>
      </c>
      <c r="AJ79" s="489" t="e">
        <f>AJ$34-AJ68/$G$54</f>
        <v>#DIV/0!</v>
      </c>
      <c r="AK79" s="489" t="e">
        <f>AK$34-AK68/$G$54</f>
        <v>#DIV/0!</v>
      </c>
      <c r="AL79" s="490" t="e">
        <f>SUM(AI79:AK79)</f>
        <v>#DIV/0!</v>
      </c>
      <c r="AM79" s="485" t="e">
        <f>AH79+AL79</f>
        <v>#DIV/0!</v>
      </c>
      <c r="AN79" s="489" t="e">
        <f>AN$34-AN68/$G$54</f>
        <v>#DIV/0!</v>
      </c>
      <c r="AO79" s="489" t="e">
        <f>AO$34-AO68/$G$54</f>
        <v>#DIV/0!</v>
      </c>
      <c r="AP79" s="489" t="e">
        <f>AP$34-AP68/$G$54</f>
        <v>#DIV/0!</v>
      </c>
      <c r="AQ79" s="490" t="e">
        <f>SUM(AN79:AP79)</f>
        <v>#DIV/0!</v>
      </c>
      <c r="AR79" s="163" t="e">
        <f>AM79+AQ79</f>
        <v>#DIV/0!</v>
      </c>
      <c r="AS79" s="491"/>
      <c r="AT79" s="491"/>
      <c r="AU79" s="491"/>
    </row>
    <row r="80" spans="2:47" ht="57.75">
      <c r="B80" s="177" t="s">
        <v>463</v>
      </c>
      <c r="C80" s="344"/>
      <c r="D80" s="474">
        <v>421.7</v>
      </c>
      <c r="E80" s="347"/>
      <c r="F80" s="474" t="e">
        <f t="shared" si="25"/>
        <v>#REF!</v>
      </c>
      <c r="G80" s="474" t="e">
        <f t="shared" si="22"/>
        <v>#REF!</v>
      </c>
      <c r="H80" s="474" t="e">
        <f t="shared" si="16"/>
        <v>#REF!</v>
      </c>
      <c r="I80" s="347" t="e">
        <f>#REF!+#REF!</f>
        <v>#REF!</v>
      </c>
      <c r="J80" s="347" t="e">
        <f>#REF!+#REF!</f>
        <v>#REF!</v>
      </c>
      <c r="K80" s="475" t="e">
        <f t="shared" si="17"/>
        <v>#REF!</v>
      </c>
      <c r="L80" s="347" t="e">
        <f>#REF!+#REF!</f>
        <v>#REF!</v>
      </c>
      <c r="M80" s="476" t="e">
        <f t="shared" si="18"/>
        <v>#REF!</v>
      </c>
      <c r="N80" s="477" t="e">
        <f t="shared" si="23"/>
        <v>#REF!</v>
      </c>
      <c r="O80" s="478" t="e">
        <f t="shared" si="19"/>
        <v>#REF!</v>
      </c>
      <c r="P80" s="479" t="e">
        <f t="shared" si="20"/>
        <v>#REF!</v>
      </c>
      <c r="Q80" s="480"/>
      <c r="R80" s="352" t="s">
        <v>42</v>
      </c>
      <c r="S80" s="353" t="e">
        <f>S74+S77</f>
        <v>#REF!</v>
      </c>
      <c r="T80" s="353" t="e">
        <f>T74+T77</f>
        <v>#REF!</v>
      </c>
      <c r="U80" s="353" t="e">
        <f t="shared" si="21"/>
        <v>#REF!</v>
      </c>
      <c r="V80" s="354" t="e">
        <f>S80/#REF!*100</f>
        <v>#REF!</v>
      </c>
      <c r="W80" s="354" t="e">
        <f>T80/#REF!*100</f>
        <v>#REF!</v>
      </c>
      <c r="X80" s="354" t="e">
        <f>U80/#REF!*100</f>
        <v>#REF!</v>
      </c>
      <c r="Y80" s="300" t="s">
        <v>43</v>
      </c>
      <c r="Z80" s="185" t="e">
        <f>IF(Z$79&lt;0,0,$AT80*Z$79)/1000</f>
        <v>#DIV/0!</v>
      </c>
      <c r="AA80" s="185" t="e">
        <f>IF(AA$79&lt;0,0,($AT80*(SUM(Z$79:AA$79))/1000)-Z80)</f>
        <v>#DIV/0!</v>
      </c>
      <c r="AB80" s="185" t="e">
        <f>IF(AB$79&lt;0,0,($AT80*(SUM(Z$79:AB$79))/1000)-SUM(Z80:AA80))</f>
        <v>#DIV/0!</v>
      </c>
      <c r="AC80" s="163" t="e">
        <f>SUM(Z80:AB80)</f>
        <v>#DIV/0!</v>
      </c>
      <c r="AD80" s="185" t="e">
        <f>IF(AD$79&lt;0,0,$AT80*(SUM(Z$79:AB$79)+AD$79)/1000)-SUM(Z80:AB80)</f>
        <v>#DIV/0!</v>
      </c>
      <c r="AE80" s="185" t="e">
        <f>IF(AE$79&lt;0,0,($AT80*(SUM(Z$79:AB$79)+SUM(AD$79:AE$79))/1000)-SUM(Z80:AB80)-AD80)</f>
        <v>#DIV/0!</v>
      </c>
      <c r="AF80" s="185" t="e">
        <f>IF(AF$79&lt;0,0,($AT80*(SUM(Z$79:AB$79)+SUM(AD$79:AF$79))/1000)-SUM(Z80:AB80)-SUM(AD80:AE80))</f>
        <v>#DIV/0!</v>
      </c>
      <c r="AG80" s="296" t="e">
        <f>SUM(AD80:AF80)</f>
        <v>#DIV/0!</v>
      </c>
      <c r="AH80" s="163" t="e">
        <f>AC80+AG80</f>
        <v>#DIV/0!</v>
      </c>
      <c r="AI80" s="185" t="e">
        <f>IF(AI$79&lt;0,0,$AT80*(SUM(Z$79:AB$79)+SUM(AD$79:AF$79)+AI$79)/1000)-SUM(Z80:AB80)-SUM(AD80:AF80)</f>
        <v>#DIV/0!</v>
      </c>
      <c r="AJ80" s="185" t="e">
        <f>IF(AJ$79&lt;0,0,($AT80*(SUM(Z$79:AB$79)+SUM(AD$79:AF$79)+SUM(AI$79:AJ$79))/1000)-SUM(Z80:AB80)-SUM(AD80:AF80)-AI80)</f>
        <v>#DIV/0!</v>
      </c>
      <c r="AK80" s="185" t="e">
        <f>IF(AK$79&lt;0,0,($AT80*(SUM(Z$79:AB$79)+SUM(AD$79:AF$79)+SUM(AI$79:AK$79))/1000)-SUM(Z80:AB80)-SUM(AD80:AF80)-SUM(AI80:AJ80))</f>
        <v>#DIV/0!</v>
      </c>
      <c r="AL80" s="296" t="e">
        <f>SUM(AI80:AK80)</f>
        <v>#DIV/0!</v>
      </c>
      <c r="AM80" s="163" t="e">
        <f>AH80+AL80</f>
        <v>#DIV/0!</v>
      </c>
      <c r="AN80" s="185" t="e">
        <f>IF(AN$79&lt;0,0,($AT80*(SUM(Z$79:AB$79)+SUM(AD$79:AF$79)+SUM(AI$79:AK$79)+AN$79))/1000)-SUM(Z80:AB80)-SUM(AD80:AF80)-SUM(AI80:AK80)</f>
        <v>#DIV/0!</v>
      </c>
      <c r="AO80" s="185" t="e">
        <f>IF(AO$79&lt;0,0,($AT80*(SUM(Z$79:AB$79)+SUM(AD$79:AF$79)+SUM(AI$79:AK$79)+SUM(AN$79,AO$79))/1000)-SUM(Z80:AB80)-SUM(AD80:AF80)-SUM(AI80:AK80)-AN80)</f>
        <v>#DIV/0!</v>
      </c>
      <c r="AP80" s="185" t="e">
        <f>IF(AP$79&lt;0,0,($AT80*(SUM(Z$79:AB$79)+SUM(AD$79:AF$79)+SUM(AI$79:AK$79)+SUM(AN$79:AP$79))/1000)-SUM(Z80:AB80)-SUM(AD80:AF80)-SUM(AI80:AK80)-SUM(AN80:AO80))</f>
        <v>#DIV/0!</v>
      </c>
      <c r="AQ80" s="163" t="e">
        <f>SUM(AN80:AP80)</f>
        <v>#DIV/0!</v>
      </c>
      <c r="AR80" s="487" t="e">
        <f>U64*12/1000</f>
        <v>#DIV/0!</v>
      </c>
      <c r="AS80" s="297" t="e">
        <f>AQ80+AM80-AR80</f>
        <v>#DIV/0!</v>
      </c>
      <c r="AT80" s="298" t="e">
        <f>AR80/(AR$34-AR$70)*1000</f>
        <v>#DIV/0!</v>
      </c>
      <c r="AU80" s="299"/>
    </row>
    <row r="81" spans="2:47" ht="18">
      <c r="B81" s="177" t="s">
        <v>464</v>
      </c>
      <c r="C81" s="344"/>
      <c r="D81" s="474">
        <v>328.6</v>
      </c>
      <c r="E81" s="347"/>
      <c r="F81" s="474" t="e">
        <f t="shared" si="25"/>
        <v>#REF!</v>
      </c>
      <c r="G81" s="474" t="e">
        <f t="shared" si="22"/>
        <v>#REF!</v>
      </c>
      <c r="H81" s="474" t="e">
        <f t="shared" si="16"/>
        <v>#REF!</v>
      </c>
      <c r="I81" s="347" t="e">
        <f>#REF!+#REF!</f>
        <v>#REF!</v>
      </c>
      <c r="J81" s="347" t="e">
        <f>#REF!+#REF!</f>
        <v>#REF!</v>
      </c>
      <c r="K81" s="475" t="e">
        <f t="shared" si="17"/>
        <v>#REF!</v>
      </c>
      <c r="L81" s="347" t="e">
        <f>#REF!+#REF!</f>
        <v>#REF!</v>
      </c>
      <c r="M81" s="476" t="e">
        <f t="shared" si="18"/>
        <v>#REF!</v>
      </c>
      <c r="N81" s="477" t="e">
        <f t="shared" si="23"/>
        <v>#REF!</v>
      </c>
      <c r="O81" s="478" t="e">
        <f t="shared" si="19"/>
        <v>#REF!</v>
      </c>
      <c r="P81" s="479" t="e">
        <f t="shared" si="20"/>
        <v>#REF!</v>
      </c>
      <c r="Q81" s="480"/>
      <c r="R81" s="356" t="s">
        <v>44</v>
      </c>
      <c r="S81" s="357" t="e">
        <f>S75+S78</f>
        <v>#REF!</v>
      </c>
      <c r="T81" s="357" t="e">
        <f>T75+T78</f>
        <v>#REF!</v>
      </c>
      <c r="U81" s="353" t="e">
        <f t="shared" si="21"/>
        <v>#REF!</v>
      </c>
      <c r="V81" s="354" t="e">
        <f>S81/#REF!*100</f>
        <v>#REF!</v>
      </c>
      <c r="W81" s="354" t="e">
        <f>T81/#REF!*100</f>
        <v>#REF!</v>
      </c>
      <c r="X81" s="354" t="e">
        <f>U81/#REF!*100</f>
        <v>#REF!</v>
      </c>
      <c r="Y81" s="300" t="s">
        <v>564</v>
      </c>
      <c r="Z81" s="355" t="e">
        <f>Z80/Z$74*100</f>
        <v>#DIV/0!</v>
      </c>
      <c r="AA81" s="355" t="e">
        <f aca="true" t="shared" si="27" ref="AA81:AQ81">AA80/AA$74*100</f>
        <v>#DIV/0!</v>
      </c>
      <c r="AB81" s="355" t="e">
        <f t="shared" si="27"/>
        <v>#DIV/0!</v>
      </c>
      <c r="AC81" s="355" t="e">
        <f t="shared" si="27"/>
        <v>#DIV/0!</v>
      </c>
      <c r="AD81" s="355" t="e">
        <f t="shared" si="27"/>
        <v>#DIV/0!</v>
      </c>
      <c r="AE81" s="355" t="e">
        <f t="shared" si="27"/>
        <v>#DIV/0!</v>
      </c>
      <c r="AF81" s="355" t="e">
        <f t="shared" si="27"/>
        <v>#DIV/0!</v>
      </c>
      <c r="AG81" s="355" t="e">
        <f t="shared" si="27"/>
        <v>#DIV/0!</v>
      </c>
      <c r="AH81" s="355" t="e">
        <f t="shared" si="27"/>
        <v>#DIV/0!</v>
      </c>
      <c r="AI81" s="355" t="e">
        <f t="shared" si="27"/>
        <v>#DIV/0!</v>
      </c>
      <c r="AJ81" s="355" t="e">
        <f t="shared" si="27"/>
        <v>#DIV/0!</v>
      </c>
      <c r="AK81" s="355" t="e">
        <f t="shared" si="27"/>
        <v>#DIV/0!</v>
      </c>
      <c r="AL81" s="355" t="e">
        <f t="shared" si="27"/>
        <v>#DIV/0!</v>
      </c>
      <c r="AM81" s="355" t="e">
        <f t="shared" si="27"/>
        <v>#DIV/0!</v>
      </c>
      <c r="AN81" s="355" t="e">
        <f t="shared" si="27"/>
        <v>#DIV/0!</v>
      </c>
      <c r="AO81" s="355" t="e">
        <f t="shared" si="27"/>
        <v>#DIV/0!</v>
      </c>
      <c r="AP81" s="355" t="e">
        <f t="shared" si="27"/>
        <v>#DIV/0!</v>
      </c>
      <c r="AQ81" s="355" t="e">
        <f t="shared" si="27"/>
        <v>#DIV/0!</v>
      </c>
      <c r="AR81" s="473" t="e">
        <f>IF((100-P44-AR57-AR59)&gt;60,(100-60-AR57-AR59),P44)</f>
        <v>#DIV/0!</v>
      </c>
      <c r="AS81" s="346"/>
      <c r="AT81" s="358"/>
      <c r="AU81" s="299" t="e">
        <f>AC82+AG82+AL82+AQ82-AR82</f>
        <v>#DIV/0!</v>
      </c>
    </row>
    <row r="82" spans="2:47" ht="30.75" customHeight="1">
      <c r="B82" s="177" t="s">
        <v>465</v>
      </c>
      <c r="C82" s="344"/>
      <c r="D82" s="474">
        <v>395.2</v>
      </c>
      <c r="E82" s="347"/>
      <c r="F82" s="474" t="e">
        <f t="shared" si="25"/>
        <v>#REF!</v>
      </c>
      <c r="G82" s="474" t="e">
        <f t="shared" si="22"/>
        <v>#REF!</v>
      </c>
      <c r="H82" s="474" t="e">
        <f t="shared" si="16"/>
        <v>#REF!</v>
      </c>
      <c r="I82" s="347" t="e">
        <f>#REF!+#REF!</f>
        <v>#REF!</v>
      </c>
      <c r="J82" s="347" t="e">
        <f>#REF!+#REF!</f>
        <v>#REF!</v>
      </c>
      <c r="K82" s="475" t="e">
        <f t="shared" si="17"/>
        <v>#REF!</v>
      </c>
      <c r="L82" s="347" t="e">
        <f>#REF!+#REF!</f>
        <v>#REF!</v>
      </c>
      <c r="M82" s="476" t="e">
        <f t="shared" si="18"/>
        <v>#REF!</v>
      </c>
      <c r="N82" s="477" t="e">
        <f t="shared" si="23"/>
        <v>#REF!</v>
      </c>
      <c r="O82" s="478" t="e">
        <f t="shared" si="19"/>
        <v>#REF!</v>
      </c>
      <c r="P82" s="479" t="e">
        <f t="shared" si="20"/>
        <v>#REF!</v>
      </c>
      <c r="Q82" s="480"/>
      <c r="R82" s="356" t="s">
        <v>36</v>
      </c>
      <c r="S82" s="357" t="e">
        <f>S80-S81</f>
        <v>#REF!</v>
      </c>
      <c r="T82" s="357" t="e">
        <f>T80-T81</f>
        <v>#REF!</v>
      </c>
      <c r="U82" s="353" t="e">
        <f t="shared" si="21"/>
        <v>#REF!</v>
      </c>
      <c r="V82" s="354" t="e">
        <f>S82/#REF!*100</f>
        <v>#REF!</v>
      </c>
      <c r="W82" s="354" t="e">
        <f>T82/#REF!*100</f>
        <v>#REF!</v>
      </c>
      <c r="X82" s="354" t="e">
        <f>U82/#REF!*100</f>
        <v>#REF!</v>
      </c>
      <c r="Y82" s="300" t="s">
        <v>45</v>
      </c>
      <c r="Z82" s="185" t="e">
        <f>IF(Z$79&lt;0,0,$AT82*Z$79)/1000</f>
        <v>#DIV/0!</v>
      </c>
      <c r="AA82" s="185" t="e">
        <f>IF(AA$79&lt;0,0,($AT82*(SUM(Z$79:AA$79))/1000)-Z82)</f>
        <v>#DIV/0!</v>
      </c>
      <c r="AB82" s="185" t="e">
        <f>IF(AB$79&lt;0,0,($AT82*(SUM(Z$79:AB$79))/1000)-SUM(Z82:AA82))</f>
        <v>#DIV/0!</v>
      </c>
      <c r="AC82" s="163" t="e">
        <f>SUM(Z82:AB82)</f>
        <v>#DIV/0!</v>
      </c>
      <c r="AD82" s="185" t="e">
        <f>IF(AD$79&lt;0,0,$AT82*(SUM(Z$79:AB$79)+AD$79)/1000)-SUM(Z82:AB82)</f>
        <v>#DIV/0!</v>
      </c>
      <c r="AE82" s="185" t="e">
        <f>IF(AE$79&lt;0,0,($AT82*(SUM(Z$79:AB$79)+SUM(AD$79:AE$79))/1000)-SUM(Z82:AB82)-AD82)</f>
        <v>#DIV/0!</v>
      </c>
      <c r="AF82" s="185" t="e">
        <f>IF(AF$79&lt;0,0,($AT82*(SUM(Z$79:AB$79)+SUM(AD$79:AF$79))/1000)-SUM(Z82:AB82)-SUM(AD82:AE82))</f>
        <v>#DIV/0!</v>
      </c>
      <c r="AG82" s="296" t="e">
        <f>SUM(AD82:AF82)</f>
        <v>#DIV/0!</v>
      </c>
      <c r="AH82" s="163" t="e">
        <f>AC82+AG82</f>
        <v>#DIV/0!</v>
      </c>
      <c r="AI82" s="185" t="e">
        <f>IF(AI$79&lt;0,0,$AT82*(SUM(Z$79:AB$79)+SUM(AD$79:AF$79)+AI$79)/1000)-SUM(Z82:AB82)-SUM(AD82:AF82)</f>
        <v>#DIV/0!</v>
      </c>
      <c r="AJ82" s="185" t="e">
        <f>IF(AJ$79&lt;0,0,($AT82*(SUM(Z$79:AB$79)+SUM(AD$79:AF$79)+SUM(AI$79:AJ$79))/1000)-SUM(Z82:AB82)-SUM(AD82:AF82)-AI82)</f>
        <v>#DIV/0!</v>
      </c>
      <c r="AK82" s="185" t="e">
        <f>IF(AK$79&lt;0,0,($AT82*(SUM(Z$79:AB$79)+SUM(AD$79:AF$79)+SUM(AI$79:AK$79))/1000)-SUM(Z82:AB82)-SUM(AD82:AF82)-SUM(AI82:AJ82))</f>
        <v>#DIV/0!</v>
      </c>
      <c r="AL82" s="296" t="e">
        <f>SUM(AI82:AK82)</f>
        <v>#DIV/0!</v>
      </c>
      <c r="AM82" s="163" t="e">
        <f>AH82+AL82</f>
        <v>#DIV/0!</v>
      </c>
      <c r="AN82" s="185" t="e">
        <f>IF(AN$79&lt;0,0,($AT82*(SUM(Z$79:AB$79)+SUM(AD$79:AF$79)+SUM(AI$79:AK$79)+AN$79))/1000)-SUM(Z82:AB82)-SUM(AD82:AF82)-SUM(AI82:AK82)</f>
        <v>#DIV/0!</v>
      </c>
      <c r="AO82" s="185" t="e">
        <f>IF(AO$79&lt;0,0,($AT82*(SUM(Z$79:AB$79)+SUM(AD$79:AF$79)+SUM(AI$79:AK$79)+SUM(AN$79,AO$79))/1000)-SUM(Z82:AB82)-SUM(AD82:AF82)-SUM(AI82:AK82)-AN82)</f>
        <v>#DIV/0!</v>
      </c>
      <c r="AP82" s="185" t="e">
        <f>IF(AP$79&lt;0,0,($AT82*(SUM(Z$79:AB$79)+SUM(AD$79:AF$79)+SUM(AI$79:AK$79)+SUM(AN$79:AP$79))/1000)-SUM(Z82:AB82)-SUM(AD82:AF82)-SUM(AI82:AK82)-SUM(AN82:AO82))</f>
        <v>#DIV/0!</v>
      </c>
      <c r="AQ82" s="163" t="e">
        <f>SUM(AN82:AP82)</f>
        <v>#DIV/0!</v>
      </c>
      <c r="AR82" s="492" t="e">
        <f>U65*12/1000</f>
        <v>#DIV/0!</v>
      </c>
      <c r="AS82" s="297" t="e">
        <f>AQ82+AM82-AR82</f>
        <v>#DIV/0!</v>
      </c>
      <c r="AT82" s="298" t="e">
        <f>AR82/(AR$34-AR$70)*1000</f>
        <v>#DIV/0!</v>
      </c>
      <c r="AU82" s="299" t="e">
        <f>AC83+AG83+AL83+AQ83-AR83</f>
        <v>#DIV/0!</v>
      </c>
    </row>
    <row r="83" spans="2:47" ht="18">
      <c r="B83" s="177" t="s">
        <v>468</v>
      </c>
      <c r="C83" s="344"/>
      <c r="D83" s="474">
        <v>340</v>
      </c>
      <c r="E83" s="347"/>
      <c r="F83" s="474" t="e">
        <f t="shared" si="25"/>
        <v>#REF!</v>
      </c>
      <c r="G83" s="474" t="e">
        <f t="shared" si="22"/>
        <v>#REF!</v>
      </c>
      <c r="H83" s="474" t="e">
        <f t="shared" si="16"/>
        <v>#REF!</v>
      </c>
      <c r="I83" s="347" t="e">
        <f>#REF!+#REF!</f>
        <v>#REF!</v>
      </c>
      <c r="J83" s="347" t="e">
        <f>#REF!+#REF!</f>
        <v>#REF!</v>
      </c>
      <c r="K83" s="475" t="e">
        <f t="shared" si="17"/>
        <v>#REF!</v>
      </c>
      <c r="L83" s="347" t="e">
        <f>#REF!+#REF!</f>
        <v>#REF!</v>
      </c>
      <c r="M83" s="476" t="e">
        <f t="shared" si="18"/>
        <v>#REF!</v>
      </c>
      <c r="N83" s="477" t="e">
        <f t="shared" si="23"/>
        <v>#REF!</v>
      </c>
      <c r="O83" s="478" t="e">
        <f t="shared" si="19"/>
        <v>#REF!</v>
      </c>
      <c r="P83" s="479" t="e">
        <f t="shared" si="20"/>
        <v>#REF!</v>
      </c>
      <c r="Q83" s="480"/>
      <c r="R83" s="352" t="s">
        <v>46</v>
      </c>
      <c r="S83" s="354" t="e">
        <f>AR45</f>
        <v>#DIV/0!</v>
      </c>
      <c r="T83" s="354" t="e">
        <f>AR73</f>
        <v>#DIV/0!</v>
      </c>
      <c r="U83" s="353" t="e">
        <f t="shared" si="21"/>
        <v>#DIV/0!</v>
      </c>
      <c r="V83" s="354" t="e">
        <f>S83/#REF!*100</f>
        <v>#DIV/0!</v>
      </c>
      <c r="W83" s="354" t="e">
        <f>T83/#REF!*100</f>
        <v>#DIV/0!</v>
      </c>
      <c r="X83" s="354" t="e">
        <f>U83/#REF!*100</f>
        <v>#DIV/0!</v>
      </c>
      <c r="Y83" s="300" t="s">
        <v>47</v>
      </c>
      <c r="Z83" s="355" t="e">
        <f aca="true" t="shared" si="28" ref="Z83:AQ83">Z82/Z$74*100</f>
        <v>#DIV/0!</v>
      </c>
      <c r="AA83" s="355" t="e">
        <f t="shared" si="28"/>
        <v>#DIV/0!</v>
      </c>
      <c r="AB83" s="355" t="e">
        <f t="shared" si="28"/>
        <v>#DIV/0!</v>
      </c>
      <c r="AC83" s="355" t="e">
        <f t="shared" si="28"/>
        <v>#DIV/0!</v>
      </c>
      <c r="AD83" s="355" t="e">
        <f t="shared" si="28"/>
        <v>#DIV/0!</v>
      </c>
      <c r="AE83" s="355" t="e">
        <f t="shared" si="28"/>
        <v>#DIV/0!</v>
      </c>
      <c r="AF83" s="355" t="e">
        <f t="shared" si="28"/>
        <v>#DIV/0!</v>
      </c>
      <c r="AG83" s="355" t="e">
        <f t="shared" si="28"/>
        <v>#DIV/0!</v>
      </c>
      <c r="AH83" s="355" t="e">
        <f t="shared" si="28"/>
        <v>#DIV/0!</v>
      </c>
      <c r="AI83" s="355" t="e">
        <f t="shared" si="28"/>
        <v>#DIV/0!</v>
      </c>
      <c r="AJ83" s="355" t="e">
        <f t="shared" si="28"/>
        <v>#DIV/0!</v>
      </c>
      <c r="AK83" s="355" t="e">
        <f t="shared" si="28"/>
        <v>#DIV/0!</v>
      </c>
      <c r="AL83" s="355" t="e">
        <f t="shared" si="28"/>
        <v>#DIV/0!</v>
      </c>
      <c r="AM83" s="355" t="e">
        <f t="shared" si="28"/>
        <v>#DIV/0!</v>
      </c>
      <c r="AN83" s="355" t="e">
        <f t="shared" si="28"/>
        <v>#DIV/0!</v>
      </c>
      <c r="AO83" s="355" t="e">
        <f t="shared" si="28"/>
        <v>#DIV/0!</v>
      </c>
      <c r="AP83" s="355" t="e">
        <f t="shared" si="28"/>
        <v>#DIV/0!</v>
      </c>
      <c r="AQ83" s="355" t="e">
        <f t="shared" si="28"/>
        <v>#DIV/0!</v>
      </c>
      <c r="AR83" s="473" t="e">
        <f>AR82/AR74*100</f>
        <v>#DIV/0!</v>
      </c>
      <c r="AS83" s="346"/>
      <c r="AT83" s="358"/>
      <c r="AU83" s="299" t="e">
        <f>AC84+AG84+AL84+AQ84-AR84</f>
        <v>#DIV/0!</v>
      </c>
    </row>
    <row r="84" spans="2:47" ht="26.25" customHeight="1">
      <c r="B84" s="177" t="s">
        <v>469</v>
      </c>
      <c r="C84" s="344"/>
      <c r="D84" s="474">
        <v>341.4</v>
      </c>
      <c r="E84" s="347"/>
      <c r="F84" s="474" t="e">
        <f t="shared" si="25"/>
        <v>#REF!</v>
      </c>
      <c r="G84" s="474" t="e">
        <f t="shared" si="22"/>
        <v>#REF!</v>
      </c>
      <c r="H84" s="474" t="e">
        <f t="shared" si="16"/>
        <v>#REF!</v>
      </c>
      <c r="I84" s="347" t="e">
        <f>#REF!+#REF!</f>
        <v>#REF!</v>
      </c>
      <c r="J84" s="347" t="e">
        <f>#REF!+#REF!</f>
        <v>#REF!</v>
      </c>
      <c r="K84" s="475" t="e">
        <f t="shared" si="17"/>
        <v>#REF!</v>
      </c>
      <c r="L84" s="347" t="e">
        <f>#REF!+#REF!</f>
        <v>#REF!</v>
      </c>
      <c r="M84" s="476" t="e">
        <f t="shared" si="18"/>
        <v>#REF!</v>
      </c>
      <c r="N84" s="477" t="e">
        <f t="shared" si="23"/>
        <v>#REF!</v>
      </c>
      <c r="O84" s="478" t="e">
        <f t="shared" si="19"/>
        <v>#REF!</v>
      </c>
      <c r="P84" s="479" t="e">
        <f t="shared" si="20"/>
        <v>#REF!</v>
      </c>
      <c r="Q84" s="480"/>
      <c r="R84" s="352" t="s">
        <v>48</v>
      </c>
      <c r="S84" s="354" t="e">
        <f>AR46</f>
        <v>#DIV/0!</v>
      </c>
      <c r="T84" s="354" t="e">
        <f>AR74</f>
        <v>#DIV/0!</v>
      </c>
      <c r="U84" s="353" t="e">
        <f t="shared" si="21"/>
        <v>#DIV/0!</v>
      </c>
      <c r="V84" s="354" t="e">
        <f>S84/#REF!*100</f>
        <v>#DIV/0!</v>
      </c>
      <c r="W84" s="354" t="e">
        <f>T84/#REF!*100</f>
        <v>#DIV/0!</v>
      </c>
      <c r="X84" s="354" t="e">
        <f>U84/#REF!*100</f>
        <v>#DIV/0!</v>
      </c>
      <c r="Y84" s="300" t="s">
        <v>49</v>
      </c>
      <c r="Z84" s="185" t="e">
        <f>IF(Z$79&lt;0,0,$AT84*Z$79)/1000</f>
        <v>#DIV/0!</v>
      </c>
      <c r="AA84" s="185" t="e">
        <f>IF(AA$79&lt;0,0,($AT84*(SUM(Z$79:AA$79))/1000)-Z84)</f>
        <v>#DIV/0!</v>
      </c>
      <c r="AB84" s="185" t="e">
        <f>IF(AB$79&lt;0,0,($AT84*(SUM(Z$79:AB$79))/1000)-SUM(Z84:AA84))</f>
        <v>#DIV/0!</v>
      </c>
      <c r="AC84" s="163" t="e">
        <f>SUM(Z84:AB84)</f>
        <v>#DIV/0!</v>
      </c>
      <c r="AD84" s="185" t="e">
        <f>IF(AD$79&lt;0,0,$AT84*(SUM(Z$79:AB$79)+AD$79)/1000)-SUM(Z84:AB84)</f>
        <v>#DIV/0!</v>
      </c>
      <c r="AE84" s="185" t="e">
        <f>IF(AE$79&lt;0,0,($AT84*(SUM(Z$79:AB$79)+SUM(AD$79:AE$79))/1000)-SUM(Z84:AB84)-AD84)</f>
        <v>#DIV/0!</v>
      </c>
      <c r="AF84" s="185" t="e">
        <f>IF(AF$79&lt;0,0,($AT84*(SUM(Z$79:AB$79)+SUM(AD$79:AF$79))/1000)-SUM(Z84:AB84)-SUM(AD84:AE84))</f>
        <v>#DIV/0!</v>
      </c>
      <c r="AG84" s="296" t="e">
        <f>SUM(AD84:AF84)</f>
        <v>#DIV/0!</v>
      </c>
      <c r="AH84" s="163" t="e">
        <f>AC84+AG84</f>
        <v>#DIV/0!</v>
      </c>
      <c r="AI84" s="185" t="e">
        <f>IF(AI$79&lt;0,0,$AT84*(SUM(Z$79:AB$79)+SUM(AD$79:AF$79)+AI$79)/1000)-SUM(Z84:AB84)-SUM(AD84:AF84)</f>
        <v>#DIV/0!</v>
      </c>
      <c r="AJ84" s="185" t="e">
        <f>IF(AJ$79&lt;0,0,($AT84*(SUM(Z$79:AB$79)+SUM(AD$79:AF$79)+SUM(AI$79:AJ$79))/1000)-SUM(Z84:AB84)-SUM(AD84:AF84)-AI84)</f>
        <v>#DIV/0!</v>
      </c>
      <c r="AK84" s="185" t="e">
        <f>IF(AK$79&lt;0,0,($AT84*(SUM(Z$79:AB$79)+SUM(AD$79:AF$79)+SUM(AI$79:AK$79))/1000)-SUM(Z84:AB84)-SUM(AD84:AF84)-SUM(AI84:AJ84))</f>
        <v>#DIV/0!</v>
      </c>
      <c r="AL84" s="296" t="e">
        <f>SUM(AI84:AK84)</f>
        <v>#DIV/0!</v>
      </c>
      <c r="AM84" s="163" t="e">
        <f>AH84+AL84</f>
        <v>#DIV/0!</v>
      </c>
      <c r="AN84" s="185" t="e">
        <f>IF(AN$79&lt;0,0,($AT84*(SUM(Z$79:AB$79)+SUM(AD$79:AF$79)+SUM(AI$79:AK$79)+AN$79))/1000)-SUM(Z84:AB84)-SUM(AD84:AF84)-SUM(AI84:AK84)</f>
        <v>#DIV/0!</v>
      </c>
      <c r="AO84" s="185" t="e">
        <f>IF(AO$79&lt;0,0,($AT84*(SUM(Z$79:AB$79)+SUM(AD$79:AF$79)+SUM(AI$79:AK$79)+SUM(AN$79,AO$79))/1000)-SUM(Z84:AB84)-SUM(AD84:AF84)-SUM(AI84:AK84)-AN84)</f>
        <v>#DIV/0!</v>
      </c>
      <c r="AP84" s="185" t="e">
        <f>IF(AP$79&lt;0,0,($AT84*(SUM(Z$79:AB$79)+SUM(AD$79:AF$79)+SUM(AI$79:AK$79)+SUM(AN$79:AP$79))/1000)-SUM(Z84:AB84)-SUM(AD84:AF84)-SUM(AI84:AK84)-SUM(AN84:AO84))</f>
        <v>#DIV/0!</v>
      </c>
      <c r="AQ84" s="163" t="e">
        <f>SUM(AN84:AP84)</f>
        <v>#DIV/0!</v>
      </c>
      <c r="AR84" s="487" t="e">
        <f>U66*12/1000</f>
        <v>#DIV/0!</v>
      </c>
      <c r="AS84" s="297" t="e">
        <f>AQ84+AM84-AR84</f>
        <v>#DIV/0!</v>
      </c>
      <c r="AT84" s="298" t="e">
        <f>AR84/(AR$34-AR$70)*1000</f>
        <v>#DIV/0!</v>
      </c>
      <c r="AU84" s="299"/>
    </row>
    <row r="85" spans="2:47" s="361" customFormat="1" ht="39" customHeight="1">
      <c r="B85" s="177" t="s">
        <v>470</v>
      </c>
      <c r="C85" s="344"/>
      <c r="D85" s="474">
        <v>326.1</v>
      </c>
      <c r="E85" s="347"/>
      <c r="F85" s="474" t="e">
        <f t="shared" si="25"/>
        <v>#REF!</v>
      </c>
      <c r="G85" s="474" t="e">
        <f t="shared" si="22"/>
        <v>#REF!</v>
      </c>
      <c r="H85" s="493" t="e">
        <f t="shared" si="16"/>
        <v>#REF!</v>
      </c>
      <c r="I85" s="347" t="e">
        <f>#REF!+#REF!</f>
        <v>#REF!</v>
      </c>
      <c r="J85" s="347" t="e">
        <f>#REF!+#REF!</f>
        <v>#REF!</v>
      </c>
      <c r="K85" s="475" t="e">
        <f t="shared" si="17"/>
        <v>#REF!</v>
      </c>
      <c r="L85" s="347" t="e">
        <f>#REF!+#REF!</f>
        <v>#REF!</v>
      </c>
      <c r="M85" s="347" t="e">
        <f>#REF!+#REF!</f>
        <v>#REF!</v>
      </c>
      <c r="N85" s="477" t="e">
        <f t="shared" si="23"/>
        <v>#REF!</v>
      </c>
      <c r="O85" s="478" t="e">
        <f t="shared" si="19"/>
        <v>#REF!</v>
      </c>
      <c r="P85" s="479" t="e">
        <f t="shared" si="20"/>
        <v>#REF!</v>
      </c>
      <c r="Q85" s="480"/>
      <c r="R85" s="356" t="s">
        <v>50</v>
      </c>
      <c r="S85" s="360" t="e">
        <f>#REF!+#REF!+#REF!+#REF!+#REF!</f>
        <v>#REF!</v>
      </c>
      <c r="T85" s="360" t="e">
        <f>#REF!+#REF!+#REF!+#REF!+#REF!</f>
        <v>#REF!</v>
      </c>
      <c r="U85" s="353" t="e">
        <f t="shared" si="21"/>
        <v>#REF!</v>
      </c>
      <c r="V85" s="354" t="e">
        <f>S85/#REF!*100</f>
        <v>#REF!</v>
      </c>
      <c r="W85" s="354" t="e">
        <f>T85/#REF!*100</f>
        <v>#REF!</v>
      </c>
      <c r="X85" s="354" t="e">
        <f>U85/#REF!*100</f>
        <v>#REF!</v>
      </c>
      <c r="Y85" s="300" t="s">
        <v>577</v>
      </c>
      <c r="Z85" s="355" t="e">
        <f aca="true" t="shared" si="29" ref="Z85:AQ85">Z84/Z$74*100</f>
        <v>#DIV/0!</v>
      </c>
      <c r="AA85" s="355" t="e">
        <f t="shared" si="29"/>
        <v>#DIV/0!</v>
      </c>
      <c r="AB85" s="355" t="e">
        <f t="shared" si="29"/>
        <v>#DIV/0!</v>
      </c>
      <c r="AC85" s="355" t="e">
        <f t="shared" si="29"/>
        <v>#DIV/0!</v>
      </c>
      <c r="AD85" s="355" t="e">
        <f t="shared" si="29"/>
        <v>#DIV/0!</v>
      </c>
      <c r="AE85" s="355" t="e">
        <f t="shared" si="29"/>
        <v>#DIV/0!</v>
      </c>
      <c r="AF85" s="355" t="e">
        <f t="shared" si="29"/>
        <v>#DIV/0!</v>
      </c>
      <c r="AG85" s="355" t="e">
        <f t="shared" si="29"/>
        <v>#DIV/0!</v>
      </c>
      <c r="AH85" s="355" t="e">
        <f t="shared" si="29"/>
        <v>#DIV/0!</v>
      </c>
      <c r="AI85" s="355" t="e">
        <f t="shared" si="29"/>
        <v>#DIV/0!</v>
      </c>
      <c r="AJ85" s="355" t="e">
        <f t="shared" si="29"/>
        <v>#DIV/0!</v>
      </c>
      <c r="AK85" s="355" t="e">
        <f t="shared" si="29"/>
        <v>#DIV/0!</v>
      </c>
      <c r="AL85" s="355" t="e">
        <f t="shared" si="29"/>
        <v>#DIV/0!</v>
      </c>
      <c r="AM85" s="355" t="e">
        <f t="shared" si="29"/>
        <v>#DIV/0!</v>
      </c>
      <c r="AN85" s="355" t="e">
        <f t="shared" si="29"/>
        <v>#DIV/0!</v>
      </c>
      <c r="AO85" s="355" t="e">
        <f t="shared" si="29"/>
        <v>#DIV/0!</v>
      </c>
      <c r="AP85" s="355" t="e">
        <f t="shared" si="29"/>
        <v>#DIV/0!</v>
      </c>
      <c r="AQ85" s="355" t="e">
        <f t="shared" si="29"/>
        <v>#DIV/0!</v>
      </c>
      <c r="AR85" s="473" t="e">
        <f>AR84/AR74*100</f>
        <v>#DIV/0!</v>
      </c>
      <c r="AS85" s="346"/>
      <c r="AT85" s="358"/>
      <c r="AU85" s="299" t="e">
        <f>AC86+AG86+AL86+AQ86-AR86</f>
        <v>#DIV/0!</v>
      </c>
    </row>
    <row r="86" spans="2:47" s="361" customFormat="1" ht="36.75" customHeight="1">
      <c r="B86" s="124" t="s">
        <v>51</v>
      </c>
      <c r="C86" s="362">
        <v>272.06</v>
      </c>
      <c r="D86" s="363"/>
      <c r="E86" s="494"/>
      <c r="F86" s="364"/>
      <c r="G86" s="365"/>
      <c r="H86" s="495"/>
      <c r="I86" s="496"/>
      <c r="J86" s="494"/>
      <c r="K86" s="366"/>
      <c r="L86" s="497"/>
      <c r="M86" s="498"/>
      <c r="N86" s="371"/>
      <c r="O86" s="478">
        <f t="shared" si="19"/>
        <v>0</v>
      </c>
      <c r="P86" s="367"/>
      <c r="Q86" s="480"/>
      <c r="R86" s="356" t="s">
        <v>36</v>
      </c>
      <c r="S86" s="360" t="e">
        <f>#REF!+#REF!+#REF!+#REF!</f>
        <v>#REF!</v>
      </c>
      <c r="T86" s="360" t="e">
        <f>#REF!+#REF!+#REF!+#REF!</f>
        <v>#REF!</v>
      </c>
      <c r="U86" s="353" t="e">
        <f t="shared" si="21"/>
        <v>#REF!</v>
      </c>
      <c r="V86" s="354" t="e">
        <f>S86/#REF!*100</f>
        <v>#REF!</v>
      </c>
      <c r="W86" s="354" t="e">
        <f>T86/#REF!*100</f>
        <v>#REF!</v>
      </c>
      <c r="X86" s="354" t="e">
        <f>U86/#REF!*100</f>
        <v>#REF!</v>
      </c>
      <c r="Y86" s="300" t="s">
        <v>52</v>
      </c>
      <c r="Z86" s="185" t="e">
        <f>IF(Z$79&lt;0,0,$AT86*Z$79)/1000</f>
        <v>#DIV/0!</v>
      </c>
      <c r="AA86" s="185" t="e">
        <f>IF(AA$79&lt;0,0,($AT86*(SUM(Z$79:AA$79))/1000)-Z86)</f>
        <v>#DIV/0!</v>
      </c>
      <c r="AB86" s="185" t="e">
        <f>IF(AB$79&lt;0,0,($AT86*(SUM(Z$79:AB$79))/1000)-SUM(Z86:AA86))</f>
        <v>#DIV/0!</v>
      </c>
      <c r="AC86" s="163" t="e">
        <f>SUM(Z86:AB86)</f>
        <v>#DIV/0!</v>
      </c>
      <c r="AD86" s="185" t="e">
        <f>IF(AD$79&lt;0,0,$AT86*(SUM(Z$79:AB$79)+AD$79)/1000)-SUM(Z86:AB86)</f>
        <v>#DIV/0!</v>
      </c>
      <c r="AE86" s="185" t="e">
        <f>IF(AE$79&lt;0,0,($AT86*(SUM(Z$79:AB$79)+SUM(AD$79:AE$79))/1000)-SUM(Z86:AB86)-AD86)</f>
        <v>#DIV/0!</v>
      </c>
      <c r="AF86" s="185" t="e">
        <f>IF(AF$79&lt;0,0,($AT86*(SUM(Z$79:AB$79)+SUM(AD$79:AF$79))/1000)-SUM(Z86:AB86)-SUM(AD86:AE86))</f>
        <v>#DIV/0!</v>
      </c>
      <c r="AG86" s="296" t="e">
        <f>SUM(AD86:AF86)</f>
        <v>#DIV/0!</v>
      </c>
      <c r="AH86" s="163" t="e">
        <f>AC86+AG86</f>
        <v>#DIV/0!</v>
      </c>
      <c r="AI86" s="185" t="e">
        <f>IF(AI$79&lt;0,0,$AT86*(SUM(Z$79:AB$79)+SUM(AD$79:AF$79)+AI$79)/1000)-SUM(Z86:AB86)-SUM(AD86:AF86)</f>
        <v>#DIV/0!</v>
      </c>
      <c r="AJ86" s="185" t="e">
        <f>IF(AJ$79&lt;0,0,($AT86*(SUM(Z$79:AB$79)+SUM(AD$79:AF$79)+SUM(AI$79:AJ$79))/1000)-SUM(Z86:AB86)-SUM(AD86:AF86)-AI86)</f>
        <v>#DIV/0!</v>
      </c>
      <c r="AK86" s="185" t="e">
        <f>IF(AK$79&lt;0,0,($AT86*(SUM(Z$79:AB$79)+SUM(AD$79:AF$79)+SUM(AI$79:AK$79))/1000)-SUM(Z86:AB86)-SUM(AD86:AF86)-SUM(AI86:AJ86))</f>
        <v>#DIV/0!</v>
      </c>
      <c r="AL86" s="296" t="e">
        <f>SUM(AI86:AK86)</f>
        <v>#DIV/0!</v>
      </c>
      <c r="AM86" s="163" t="e">
        <f>AH86+AL86</f>
        <v>#DIV/0!</v>
      </c>
      <c r="AN86" s="185" t="e">
        <f>IF(AN$79&lt;0,0,($AT86*(SUM(Z$79:AB$79)+SUM(AD$79:AF$79)+SUM(AI$79:AK$79)+AN$79))/1000)-SUM(Z86:AB86)-SUM(AD86:AF86)-SUM(AI86:AK86)</f>
        <v>#DIV/0!</v>
      </c>
      <c r="AO86" s="185" t="e">
        <f>IF(AO$79&lt;0,0,($AT86*(SUM(Z$79:AB$79)+SUM(AD$79:AF$79)+SUM(AI$79:AK$79)+SUM(AN$79,AO$79))/1000)-SUM(Z86:AB86)-SUM(AD86:AF86)-SUM(AI86:AK86)-AN86)</f>
        <v>#DIV/0!</v>
      </c>
      <c r="AP86" s="185" t="e">
        <f>IF(AP$79&lt;0,0,($AT86*(SUM(Z$79:AB$79)+SUM(AD$79:AF$79)+SUM(AI$79:AK$79)+SUM(AN$79:AP$79))/1000)-SUM(Z86:AB86)-SUM(AD86:AF86)-SUM(AI86:AK86)-SUM(AN86:AO86))</f>
        <v>#DIV/0!</v>
      </c>
      <c r="AQ86" s="163" t="e">
        <f>SUM(AN86:AP86)</f>
        <v>#DIV/0!</v>
      </c>
      <c r="AR86" s="487" t="e">
        <f>U68*12/1000</f>
        <v>#DIV/0!</v>
      </c>
      <c r="AS86" s="297" t="e">
        <f>AQ86+AM86-AR86</f>
        <v>#DIV/0!</v>
      </c>
      <c r="AT86" s="298" t="e">
        <f>AR86/(AR$34-AR$70)*1000</f>
        <v>#DIV/0!</v>
      </c>
      <c r="AU86" s="299"/>
    </row>
    <row r="87" spans="2:47" s="118" customFormat="1" ht="45">
      <c r="B87" s="344" t="s">
        <v>53</v>
      </c>
      <c r="C87" s="499">
        <f aca="true" t="shared" si="30" ref="C87:J87">SUM(C73:C86)</f>
        <v>272.06</v>
      </c>
      <c r="D87" s="500">
        <f t="shared" si="30"/>
        <v>4079.9999999999995</v>
      </c>
      <c r="E87" s="501"/>
      <c r="F87" s="347" t="e">
        <f t="shared" si="30"/>
        <v>#REF!</v>
      </c>
      <c r="G87" s="368" t="e">
        <f t="shared" si="30"/>
        <v>#REF!</v>
      </c>
      <c r="H87" s="347" t="e">
        <f t="shared" si="30"/>
        <v>#REF!</v>
      </c>
      <c r="I87" s="347" t="e">
        <f t="shared" si="30"/>
        <v>#REF!</v>
      </c>
      <c r="J87" s="368" t="e">
        <f t="shared" si="30"/>
        <v>#REF!</v>
      </c>
      <c r="K87" s="347" t="e">
        <f>I87-J87</f>
        <v>#REF!</v>
      </c>
      <c r="L87" s="369" t="e">
        <f>SUM(L73:L86)</f>
        <v>#REF!</v>
      </c>
      <c r="M87" s="501" t="e">
        <f>SUM(M73:M86)</f>
        <v>#REF!</v>
      </c>
      <c r="N87" s="370" t="e">
        <f>H87-K87</f>
        <v>#REF!</v>
      </c>
      <c r="O87" s="502" t="e">
        <f>SUM(O73:O86)</f>
        <v>#REF!</v>
      </c>
      <c r="P87" s="369" t="e">
        <f>SUM(P73:P86)</f>
        <v>#REF!</v>
      </c>
      <c r="Q87" s="503"/>
      <c r="R87" s="352" t="s">
        <v>54</v>
      </c>
      <c r="S87" s="354" t="e">
        <f>AR49</f>
        <v>#DIV/0!</v>
      </c>
      <c r="T87" s="354" t="e">
        <f>AR77</f>
        <v>#DIV/0!</v>
      </c>
      <c r="U87" s="353" t="e">
        <f t="shared" si="21"/>
        <v>#DIV/0!</v>
      </c>
      <c r="V87" s="354" t="e">
        <f>S87/#REF!*100</f>
        <v>#DIV/0!</v>
      </c>
      <c r="W87" s="354" t="e">
        <f>T87/#REF!*100</f>
        <v>#DIV/0!</v>
      </c>
      <c r="X87" s="354" t="e">
        <f>U87/#REF!*100</f>
        <v>#DIV/0!</v>
      </c>
      <c r="Y87" s="300" t="s">
        <v>584</v>
      </c>
      <c r="Z87" s="355" t="e">
        <f aca="true" t="shared" si="31" ref="Z87:AQ87">Z86/Z$74*100</f>
        <v>#DIV/0!</v>
      </c>
      <c r="AA87" s="355" t="e">
        <f t="shared" si="31"/>
        <v>#DIV/0!</v>
      </c>
      <c r="AB87" s="355" t="e">
        <f t="shared" si="31"/>
        <v>#DIV/0!</v>
      </c>
      <c r="AC87" s="355" t="e">
        <f t="shared" si="31"/>
        <v>#DIV/0!</v>
      </c>
      <c r="AD87" s="355" t="e">
        <f t="shared" si="31"/>
        <v>#DIV/0!</v>
      </c>
      <c r="AE87" s="355" t="e">
        <f t="shared" si="31"/>
        <v>#DIV/0!</v>
      </c>
      <c r="AF87" s="355" t="e">
        <f t="shared" si="31"/>
        <v>#DIV/0!</v>
      </c>
      <c r="AG87" s="355" t="e">
        <f t="shared" si="31"/>
        <v>#DIV/0!</v>
      </c>
      <c r="AH87" s="355" t="e">
        <f t="shared" si="31"/>
        <v>#DIV/0!</v>
      </c>
      <c r="AI87" s="355" t="e">
        <f t="shared" si="31"/>
        <v>#DIV/0!</v>
      </c>
      <c r="AJ87" s="355" t="e">
        <f t="shared" si="31"/>
        <v>#DIV/0!</v>
      </c>
      <c r="AK87" s="355" t="e">
        <f t="shared" si="31"/>
        <v>#DIV/0!</v>
      </c>
      <c r="AL87" s="355" t="e">
        <f t="shared" si="31"/>
        <v>#DIV/0!</v>
      </c>
      <c r="AM87" s="355" t="e">
        <f t="shared" si="31"/>
        <v>#DIV/0!</v>
      </c>
      <c r="AN87" s="355" t="e">
        <f t="shared" si="31"/>
        <v>#DIV/0!</v>
      </c>
      <c r="AO87" s="355" t="e">
        <f t="shared" si="31"/>
        <v>#DIV/0!</v>
      </c>
      <c r="AP87" s="355" t="e">
        <f t="shared" si="31"/>
        <v>#DIV/0!</v>
      </c>
      <c r="AQ87" s="355" t="e">
        <f t="shared" si="31"/>
        <v>#DIV/0!</v>
      </c>
      <c r="AR87" s="200" t="e">
        <f>#REF!</f>
        <v>#REF!</v>
      </c>
      <c r="AS87" s="346"/>
      <c r="AT87" s="358"/>
      <c r="AU87" s="299" t="e">
        <f>#REF!+#REF!+#REF!+#REF!-#REF!</f>
        <v>#REF!</v>
      </c>
    </row>
    <row r="88" spans="17:46" ht="53.25" customHeight="1">
      <c r="Q88" s="480"/>
      <c r="AR88" s="40"/>
      <c r="AS88" s="40"/>
      <c r="AT88" s="40"/>
    </row>
    <row r="89" spans="2:46" ht="15.75">
      <c r="B89" s="35"/>
      <c r="C89" s="35"/>
      <c r="D89" s="35"/>
      <c r="E89" s="35"/>
      <c r="F89" s="35"/>
      <c r="G89" s="35"/>
      <c r="H89" s="35"/>
      <c r="I89" s="35"/>
      <c r="J89"/>
      <c r="K89" s="18"/>
      <c r="L89" s="35"/>
      <c r="M89"/>
      <c r="N89" s="18"/>
      <c r="Q89" s="503"/>
      <c r="AR89" s="40"/>
      <c r="AS89" s="40"/>
      <c r="AT89" s="40"/>
    </row>
    <row r="90" spans="2:46" ht="25.5">
      <c r="B90" s="18"/>
      <c r="C90" s="509"/>
      <c r="D90" s="18"/>
      <c r="E90" s="18"/>
      <c r="F90" s="18"/>
      <c r="G90" s="18"/>
      <c r="H90" s="532"/>
      <c r="I90" s="532"/>
      <c r="J90" s="109"/>
      <c r="K90" s="532"/>
      <c r="L90" s="532"/>
      <c r="M90" s="109"/>
      <c r="N90" s="532"/>
      <c r="O90" s="48"/>
      <c r="Q90" s="480"/>
      <c r="AR90" s="40"/>
      <c r="AS90" s="40"/>
      <c r="AT90" s="40"/>
    </row>
    <row r="91" spans="3:18" ht="28.5">
      <c r="C91" s="534" t="s">
        <v>4</v>
      </c>
      <c r="H91" s="48"/>
      <c r="I91" s="48"/>
      <c r="J91" s="533"/>
      <c r="K91" s="533"/>
      <c r="L91" s="45"/>
      <c r="M91" s="48"/>
      <c r="N91" s="48"/>
      <c r="O91" s="48"/>
      <c r="R91" s="513"/>
    </row>
    <row r="92" spans="2:18" ht="39" customHeight="1">
      <c r="B92" s="525"/>
      <c r="C92" s="525"/>
      <c r="D92" s="525"/>
      <c r="E92" s="325"/>
      <c r="F92" s="325"/>
      <c r="G92" s="817" t="s">
        <v>3</v>
      </c>
      <c r="H92" s="818"/>
      <c r="I92" s="818"/>
      <c r="J92" s="818"/>
      <c r="K92" s="818"/>
      <c r="L92" s="818"/>
      <c r="M92" s="818"/>
      <c r="N92" s="818"/>
      <c r="O92" s="819"/>
      <c r="P92" s="510"/>
      <c r="Q92" s="512"/>
      <c r="R92" s="506"/>
    </row>
    <row r="93" spans="2:18" ht="165">
      <c r="B93" s="525" t="s">
        <v>194</v>
      </c>
      <c r="C93" s="525" t="s">
        <v>56</v>
      </c>
      <c r="D93" s="525" t="s">
        <v>606</v>
      </c>
      <c r="E93" s="525" t="s">
        <v>605</v>
      </c>
      <c r="F93" s="491" t="s">
        <v>601</v>
      </c>
      <c r="G93" s="525" t="s">
        <v>67</v>
      </c>
      <c r="H93" s="525" t="s">
        <v>68</v>
      </c>
      <c r="I93" s="525" t="s">
        <v>198</v>
      </c>
      <c r="J93" s="526" t="s">
        <v>66</v>
      </c>
      <c r="K93" s="527" t="s">
        <v>604</v>
      </c>
      <c r="L93" s="491" t="s">
        <v>2</v>
      </c>
      <c r="M93" s="525" t="s">
        <v>603</v>
      </c>
      <c r="N93" s="528" t="s">
        <v>1</v>
      </c>
      <c r="O93" s="525" t="s">
        <v>0</v>
      </c>
      <c r="P93" s="510" t="s">
        <v>602</v>
      </c>
      <c r="Q93" s="513"/>
      <c r="R93" s="506"/>
    </row>
    <row r="94" spans="2:18" ht="15">
      <c r="B94" s="529">
        <v>2</v>
      </c>
      <c r="C94" s="529">
        <v>3</v>
      </c>
      <c r="D94" s="529">
        <v>4</v>
      </c>
      <c r="E94" s="325"/>
      <c r="F94" s="325"/>
      <c r="G94" s="529">
        <v>5</v>
      </c>
      <c r="H94" s="529">
        <v>8</v>
      </c>
      <c r="I94" s="529">
        <v>6</v>
      </c>
      <c r="J94" s="526"/>
      <c r="K94" s="529">
        <v>7</v>
      </c>
      <c r="L94" s="325"/>
      <c r="M94" s="529">
        <v>9</v>
      </c>
      <c r="N94" s="526">
        <v>11</v>
      </c>
      <c r="O94" s="529">
        <v>10</v>
      </c>
      <c r="P94" s="510"/>
      <c r="Q94" s="512"/>
      <c r="R94" s="506"/>
    </row>
    <row r="95" spans="2:18" ht="39.75">
      <c r="B95" s="530" t="str">
        <f>C15</f>
        <v>Административно-управленческий персонал</v>
      </c>
      <c r="C95" s="519">
        <v>3</v>
      </c>
      <c r="D95" s="523">
        <v>18163</v>
      </c>
      <c r="E95" s="514">
        <v>18163</v>
      </c>
      <c r="F95" s="517">
        <v>100</v>
      </c>
      <c r="G95" s="514">
        <v>21651</v>
      </c>
      <c r="H95" s="514">
        <v>9438</v>
      </c>
      <c r="I95" s="514">
        <v>7173</v>
      </c>
      <c r="J95" s="514">
        <f>G95+H95+I95</f>
        <v>38262</v>
      </c>
      <c r="K95" s="517">
        <v>16228</v>
      </c>
      <c r="L95" s="517">
        <v>25</v>
      </c>
      <c r="M95" s="519">
        <v>12.9</v>
      </c>
      <c r="N95" s="519">
        <v>81420</v>
      </c>
      <c r="O95" s="524">
        <v>653900</v>
      </c>
      <c r="P95" s="515"/>
      <c r="Q95" s="512"/>
      <c r="R95" s="506"/>
    </row>
    <row r="96" spans="2:18" ht="39.75">
      <c r="B96" s="530" t="str">
        <f>C20</f>
        <v>Учебно-вспомогательный персонал</v>
      </c>
      <c r="C96" s="519">
        <v>26</v>
      </c>
      <c r="D96" s="523">
        <v>10981</v>
      </c>
      <c r="E96" s="514">
        <v>10981</v>
      </c>
      <c r="F96" s="517">
        <f>E96/D96*100</f>
        <v>100</v>
      </c>
      <c r="G96" s="514">
        <v>114192</v>
      </c>
      <c r="H96" s="514">
        <v>49088</v>
      </c>
      <c r="I96" s="514">
        <v>37414</v>
      </c>
      <c r="J96" s="514">
        <f>G96+I96</f>
        <v>151606</v>
      </c>
      <c r="K96" s="517">
        <v>32605</v>
      </c>
      <c r="L96" s="517">
        <v>25</v>
      </c>
      <c r="M96" s="519">
        <v>13</v>
      </c>
      <c r="N96" s="519">
        <v>245615</v>
      </c>
      <c r="O96" s="524">
        <v>3426100</v>
      </c>
      <c r="P96" s="515"/>
      <c r="Q96" s="512"/>
      <c r="R96" s="506"/>
    </row>
    <row r="97" spans="2:18" ht="32.25">
      <c r="B97" s="531" t="s">
        <v>55</v>
      </c>
      <c r="C97" s="514">
        <v>29</v>
      </c>
      <c r="D97" s="520">
        <v>11724</v>
      </c>
      <c r="E97" s="518">
        <v>11724</v>
      </c>
      <c r="F97" s="517">
        <v>100</v>
      </c>
      <c r="G97" s="514"/>
      <c r="H97" s="514">
        <v>58526</v>
      </c>
      <c r="I97" s="514">
        <v>44587</v>
      </c>
      <c r="J97" s="514">
        <v>189868</v>
      </c>
      <c r="K97" s="514"/>
      <c r="L97" s="517">
        <v>25</v>
      </c>
      <c r="M97" s="514">
        <v>13</v>
      </c>
      <c r="N97" s="514">
        <v>327035</v>
      </c>
      <c r="O97" s="514">
        <v>4080000</v>
      </c>
      <c r="P97" s="515"/>
      <c r="Q97" s="512"/>
      <c r="R97" s="506"/>
    </row>
    <row r="98" spans="2:18" ht="18.75">
      <c r="B98" s="504"/>
      <c r="C98" s="521"/>
      <c r="D98" s="511"/>
      <c r="E98" s="516"/>
      <c r="F98" s="516"/>
      <c r="G98" s="522"/>
      <c r="H98" s="522"/>
      <c r="I98" s="522"/>
      <c r="J98" s="522"/>
      <c r="K98" s="522"/>
      <c r="L98" s="517"/>
      <c r="M98" s="522"/>
      <c r="N98" s="522"/>
      <c r="O98" s="522"/>
      <c r="P98" s="519"/>
      <c r="Q98" s="512"/>
      <c r="R98" s="506"/>
    </row>
    <row r="99" spans="2:14" ht="1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22"/>
      <c r="M99"/>
      <c r="N99" s="18"/>
    </row>
    <row r="100" spans="2:14" ht="18.75">
      <c r="B100" s="34"/>
      <c r="C100" s="34"/>
      <c r="D100" s="34"/>
      <c r="E100" s="18"/>
      <c r="F100" s="34"/>
      <c r="G100" s="34"/>
      <c r="H100" s="34"/>
      <c r="I100" s="34"/>
      <c r="J100" s="18"/>
      <c r="K100" s="18"/>
      <c r="L100" s="23"/>
      <c r="M100"/>
      <c r="N100" s="18"/>
    </row>
    <row r="102" ht="15">
      <c r="F102" s="40">
        <v>724</v>
      </c>
    </row>
    <row r="105" ht="15">
      <c r="K105" s="40">
        <v>5</v>
      </c>
    </row>
  </sheetData>
  <sheetProtection/>
  <mergeCells count="73">
    <mergeCell ref="G92:O92"/>
    <mergeCell ref="AZ76:BA76"/>
    <mergeCell ref="L69:O69"/>
    <mergeCell ref="L70:O70"/>
    <mergeCell ref="L71:O71"/>
    <mergeCell ref="R72:U72"/>
    <mergeCell ref="V72:X72"/>
    <mergeCell ref="AW76:AY76"/>
    <mergeCell ref="L68:O68"/>
    <mergeCell ref="L67:O67"/>
    <mergeCell ref="AZ48:BA48"/>
    <mergeCell ref="L49:O49"/>
    <mergeCell ref="L50:O50"/>
    <mergeCell ref="L51:O51"/>
    <mergeCell ref="L55:O55"/>
    <mergeCell ref="L48:O48"/>
    <mergeCell ref="AW48:AY48"/>
    <mergeCell ref="L54:O54"/>
    <mergeCell ref="AV68:AW68"/>
    <mergeCell ref="L58:O58"/>
    <mergeCell ref="L59:O59"/>
    <mergeCell ref="L60:O60"/>
    <mergeCell ref="L61:O61"/>
    <mergeCell ref="L62:O62"/>
    <mergeCell ref="L63:O63"/>
    <mergeCell ref="L64:O64"/>
    <mergeCell ref="L65:O65"/>
    <mergeCell ref="L66:O66"/>
    <mergeCell ref="L57:O57"/>
    <mergeCell ref="AW42:AX42"/>
    <mergeCell ref="L43:O43"/>
    <mergeCell ref="L44:O44"/>
    <mergeCell ref="L45:O45"/>
    <mergeCell ref="L47:O47"/>
    <mergeCell ref="L56:O56"/>
    <mergeCell ref="L53:O53"/>
    <mergeCell ref="L46:O46"/>
    <mergeCell ref="L52:O52"/>
    <mergeCell ref="AF10:AF13"/>
    <mergeCell ref="AE12:AE13"/>
    <mergeCell ref="J41:J42"/>
    <mergeCell ref="L41:O41"/>
    <mergeCell ref="L42:O42"/>
    <mergeCell ref="L37:O37"/>
    <mergeCell ref="L38:O38"/>
    <mergeCell ref="L39:O39"/>
    <mergeCell ref="L40:O40"/>
    <mergeCell ref="E3:F3"/>
    <mergeCell ref="Z12:AA12"/>
    <mergeCell ref="L10:O11"/>
    <mergeCell ref="AD12:AD13"/>
    <mergeCell ref="W12:W13"/>
    <mergeCell ref="AG10:AG13"/>
    <mergeCell ref="L12:M12"/>
    <mergeCell ref="N12:O12"/>
    <mergeCell ref="T12:U12"/>
    <mergeCell ref="V12:V13"/>
    <mergeCell ref="I10:I13"/>
    <mergeCell ref="P10:P13"/>
    <mergeCell ref="AB12:AC12"/>
    <mergeCell ref="J10:J13"/>
    <mergeCell ref="K10:K13"/>
    <mergeCell ref="L36:O36"/>
    <mergeCell ref="Q10:R12"/>
    <mergeCell ref="S10:S13"/>
    <mergeCell ref="T10:AE11"/>
    <mergeCell ref="X12:Y12"/>
    <mergeCell ref="B10:B13"/>
    <mergeCell ref="C10:C13"/>
    <mergeCell ref="E10:E13"/>
    <mergeCell ref="F10:F13"/>
    <mergeCell ref="G10:G13"/>
    <mergeCell ref="H10:H13"/>
  </mergeCells>
  <printOptions/>
  <pageMargins left="0.7" right="0.7" top="0.75" bottom="0.75" header="0.3" footer="0.3"/>
  <pageSetup fitToHeight="1" fitToWidth="1" horizontalDpi="600" verticalDpi="600" orientation="portrait" paperSize="9" scale="10" r:id="rId3"/>
  <drawing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N28"/>
  <sheetViews>
    <sheetView zoomScalePageLayoutView="0" workbookViewId="0" topLeftCell="C10">
      <selection activeCell="H31" sqref="H31"/>
    </sheetView>
  </sheetViews>
  <sheetFormatPr defaultColWidth="9.140625" defaultRowHeight="15"/>
  <cols>
    <col min="1" max="1" width="4.140625" style="18" customWidth="1"/>
    <col min="2" max="2" width="30.421875" style="18" customWidth="1"/>
    <col min="3" max="3" width="14.8515625" style="18" customWidth="1"/>
    <col min="4" max="4" width="9.00390625" style="18" customWidth="1"/>
    <col min="5" max="5" width="15.8515625" style="18" customWidth="1"/>
    <col min="6" max="6" width="16.421875" style="18" customWidth="1"/>
    <col min="7" max="7" width="18.421875" style="18" customWidth="1"/>
    <col min="8" max="8" width="17.8515625" style="18" customWidth="1"/>
    <col min="9" max="9" width="14.28125" style="18" customWidth="1"/>
    <col min="11" max="11" width="9.140625" style="18" customWidth="1"/>
    <col min="12" max="12" width="17.7109375" style="18" customWidth="1"/>
    <col min="13" max="13" width="14.421875" style="0" customWidth="1"/>
    <col min="14" max="16384" width="9.140625" style="18" customWidth="1"/>
  </cols>
  <sheetData>
    <row r="4" spans="1:12" ht="15" customHeight="1">
      <c r="A4" s="35" t="s">
        <v>360</v>
      </c>
      <c r="B4" s="35"/>
      <c r="C4" s="35"/>
      <c r="D4" s="35"/>
      <c r="E4" s="35"/>
      <c r="F4" s="35"/>
      <c r="G4" s="35"/>
      <c r="H4" s="35"/>
      <c r="I4" s="35"/>
      <c r="L4" s="35"/>
    </row>
    <row r="5" spans="1:12" ht="15" customHeight="1">
      <c r="A5" s="35" t="s">
        <v>209</v>
      </c>
      <c r="B5" s="35"/>
      <c r="C5" s="35"/>
      <c r="D5" s="35"/>
      <c r="E5" s="35"/>
      <c r="F5" s="35"/>
      <c r="G5" s="35"/>
      <c r="H5" s="35"/>
      <c r="I5" s="35"/>
      <c r="L5" s="35"/>
    </row>
    <row r="6" spans="1:12" ht="15" customHeight="1">
      <c r="A6" s="36" t="s">
        <v>208</v>
      </c>
      <c r="B6" s="36"/>
      <c r="C6" s="36"/>
      <c r="D6" s="36"/>
      <c r="E6" s="36"/>
      <c r="F6" s="36"/>
      <c r="G6" s="36"/>
      <c r="H6" s="36"/>
      <c r="I6" s="36"/>
      <c r="L6" s="36"/>
    </row>
    <row r="8" spans="1:12" ht="15" customHeight="1">
      <c r="A8" s="37" t="s">
        <v>361</v>
      </c>
      <c r="B8" s="37"/>
      <c r="C8" s="37"/>
      <c r="D8" s="37"/>
      <c r="E8" s="37"/>
      <c r="F8" s="37"/>
      <c r="G8" s="37"/>
      <c r="H8" s="37"/>
      <c r="I8" s="37"/>
      <c r="L8" s="37"/>
    </row>
    <row r="10" spans="1:12" ht="15" customHeight="1">
      <c r="A10" s="35" t="s">
        <v>207</v>
      </c>
      <c r="B10" s="35"/>
      <c r="C10" s="35"/>
      <c r="D10" s="35"/>
      <c r="E10" s="35"/>
      <c r="F10" s="35"/>
      <c r="G10" s="35"/>
      <c r="H10" s="35"/>
      <c r="I10" s="35"/>
      <c r="L10" s="35"/>
    </row>
    <row r="12" spans="1:13" ht="15" customHeight="1">
      <c r="A12" s="33" t="s">
        <v>193</v>
      </c>
      <c r="B12" s="33" t="s">
        <v>194</v>
      </c>
      <c r="C12" s="33" t="s">
        <v>195</v>
      </c>
      <c r="D12" s="33" t="s">
        <v>201</v>
      </c>
      <c r="E12" s="33" t="s">
        <v>68</v>
      </c>
      <c r="F12" s="33"/>
      <c r="G12" s="33"/>
      <c r="H12" s="29"/>
      <c r="I12" s="33"/>
      <c r="K12" s="33" t="s">
        <v>203</v>
      </c>
      <c r="L12" s="30" t="s">
        <v>374</v>
      </c>
      <c r="M12" s="33" t="s">
        <v>204</v>
      </c>
    </row>
    <row r="13" spans="1:13" ht="15">
      <c r="A13" s="33"/>
      <c r="B13" s="33"/>
      <c r="C13" s="33"/>
      <c r="D13" s="33" t="s">
        <v>196</v>
      </c>
      <c r="E13" s="33"/>
      <c r="F13" s="33" t="s">
        <v>200</v>
      </c>
      <c r="G13" s="33"/>
      <c r="H13" s="29"/>
      <c r="I13" s="33"/>
      <c r="K13" s="33"/>
      <c r="L13" s="31"/>
      <c r="M13" s="33"/>
    </row>
    <row r="14" spans="1:13" ht="46.5" customHeight="1">
      <c r="A14" s="33"/>
      <c r="B14" s="33"/>
      <c r="C14" s="33"/>
      <c r="D14" s="33"/>
      <c r="E14" s="33"/>
      <c r="F14" s="33" t="s">
        <v>67</v>
      </c>
      <c r="G14" s="33" t="s">
        <v>198</v>
      </c>
      <c r="H14" s="29" t="s">
        <v>66</v>
      </c>
      <c r="I14" s="33" t="s">
        <v>199</v>
      </c>
      <c r="K14" s="33"/>
      <c r="L14" s="32"/>
      <c r="M14" s="33"/>
    </row>
    <row r="15" spans="1:13" ht="12.75" customHeight="1">
      <c r="A15" s="19">
        <v>1</v>
      </c>
      <c r="B15" s="19">
        <v>2</v>
      </c>
      <c r="C15" s="19">
        <v>3</v>
      </c>
      <c r="D15" s="19">
        <v>4</v>
      </c>
      <c r="E15" s="19">
        <v>8</v>
      </c>
      <c r="F15" s="19">
        <v>5</v>
      </c>
      <c r="G15" s="19">
        <v>6</v>
      </c>
      <c r="H15" s="29"/>
      <c r="I15" s="19">
        <v>7</v>
      </c>
      <c r="K15" s="19">
        <v>9</v>
      </c>
      <c r="L15" s="29">
        <v>11</v>
      </c>
      <c r="M15" s="19">
        <v>10</v>
      </c>
    </row>
    <row r="16" spans="1:13" ht="39.75" customHeight="1">
      <c r="A16" s="29">
        <v>1</v>
      </c>
      <c r="B16" s="24" t="s">
        <v>363</v>
      </c>
      <c r="C16" s="29">
        <v>3</v>
      </c>
      <c r="D16" s="29">
        <v>30</v>
      </c>
      <c r="E16" s="20"/>
      <c r="F16" s="29">
        <v>264.3</v>
      </c>
      <c r="G16" s="29">
        <v>144.5</v>
      </c>
      <c r="H16" s="29"/>
      <c r="I16" s="29">
        <v>145.8</v>
      </c>
      <c r="K16" s="29">
        <v>166.4</v>
      </c>
      <c r="L16" s="29"/>
      <c r="M16" s="21">
        <v>721</v>
      </c>
    </row>
    <row r="17" spans="1:13" ht="15">
      <c r="A17" s="29">
        <v>4</v>
      </c>
      <c r="B17" s="24" t="s">
        <v>366</v>
      </c>
      <c r="C17" s="29">
        <v>17</v>
      </c>
      <c r="D17" s="29">
        <v>22.8</v>
      </c>
      <c r="E17" s="29"/>
      <c r="F17" s="29">
        <v>1401.54</v>
      </c>
      <c r="G17" s="29">
        <v>1160.77</v>
      </c>
      <c r="H17" s="29"/>
      <c r="I17" s="29">
        <v>1021.23</v>
      </c>
      <c r="J17" s="18"/>
      <c r="K17" s="29">
        <v>1075.06</v>
      </c>
      <c r="L17" s="29"/>
      <c r="M17" s="21">
        <v>4658.6</v>
      </c>
    </row>
    <row r="18" spans="1:13" ht="15">
      <c r="A18" s="29">
        <v>5</v>
      </c>
      <c r="B18" s="24" t="s">
        <v>367</v>
      </c>
      <c r="C18" s="29">
        <v>9</v>
      </c>
      <c r="D18" s="29">
        <v>3.4</v>
      </c>
      <c r="E18" s="29"/>
      <c r="F18" s="29">
        <v>900</v>
      </c>
      <c r="G18" s="29">
        <v>102.5</v>
      </c>
      <c r="H18" s="29"/>
      <c r="I18" s="29">
        <v>167</v>
      </c>
      <c r="J18" s="18"/>
      <c r="K18" s="29">
        <v>350.9</v>
      </c>
      <c r="L18" s="29"/>
      <c r="M18" s="21">
        <v>1520.4</v>
      </c>
    </row>
    <row r="19" spans="1:14" s="26" customFormat="1" ht="18.75" customHeight="1">
      <c r="A19" s="28"/>
      <c r="B19" s="27" t="s">
        <v>63</v>
      </c>
      <c r="C19" s="373"/>
      <c r="D19" s="28"/>
      <c r="E19" s="28"/>
      <c r="F19" s="373"/>
      <c r="G19" s="373"/>
      <c r="H19" s="373"/>
      <c r="I19" s="373"/>
      <c r="K19" s="373"/>
      <c r="L19" s="373"/>
      <c r="M19" s="25"/>
      <c r="N19" s="374" t="s">
        <v>620</v>
      </c>
    </row>
    <row r="20" spans="1:13" ht="51" customHeight="1">
      <c r="A20" s="29">
        <v>2</v>
      </c>
      <c r="B20" s="24" t="s">
        <v>364</v>
      </c>
      <c r="C20" s="29"/>
      <c r="D20" s="29"/>
      <c r="E20" s="29"/>
      <c r="F20" s="29"/>
      <c r="G20" s="29"/>
      <c r="H20" s="29"/>
      <c r="I20" s="29"/>
      <c r="J20" s="18"/>
      <c r="K20" s="29"/>
      <c r="L20" s="29"/>
      <c r="M20" s="21"/>
    </row>
    <row r="21" spans="1:13" ht="60.75" customHeight="1">
      <c r="A21" s="29">
        <v>3</v>
      </c>
      <c r="B21" s="24" t="s">
        <v>373</v>
      </c>
      <c r="C21" s="29"/>
      <c r="D21" s="29"/>
      <c r="E21" s="29"/>
      <c r="F21" s="29"/>
      <c r="G21" s="29"/>
      <c r="H21" s="29"/>
      <c r="I21" s="29"/>
      <c r="J21" s="18"/>
      <c r="K21" s="29"/>
      <c r="L21" s="29"/>
      <c r="M21" s="21"/>
    </row>
    <row r="22" spans="1:14" s="26" customFormat="1" ht="18.75" customHeight="1">
      <c r="A22" s="28"/>
      <c r="B22" s="27" t="s">
        <v>64</v>
      </c>
      <c r="C22" s="373"/>
      <c r="D22" s="28"/>
      <c r="E22" s="28"/>
      <c r="F22" s="373"/>
      <c r="G22" s="373"/>
      <c r="H22" s="373">
        <f>F22+G22</f>
        <v>0</v>
      </c>
      <c r="I22" s="373"/>
      <c r="K22" s="373" t="s">
        <v>620</v>
      </c>
      <c r="L22" s="373" t="s">
        <v>620</v>
      </c>
      <c r="M22" s="25"/>
      <c r="N22" s="374" t="s">
        <v>620</v>
      </c>
    </row>
    <row r="23" spans="1:14" s="26" customFormat="1" ht="18.75" customHeight="1">
      <c r="A23" s="28"/>
      <c r="B23" s="27" t="s">
        <v>65</v>
      </c>
      <c r="C23" s="373"/>
      <c r="D23" s="28"/>
      <c r="E23" s="28"/>
      <c r="F23" s="373"/>
      <c r="G23" s="373"/>
      <c r="H23" s="373">
        <f>H19+H22</f>
        <v>0</v>
      </c>
      <c r="I23" s="373"/>
      <c r="K23" s="373" t="s">
        <v>620</v>
      </c>
      <c r="L23" s="373" t="s">
        <v>620</v>
      </c>
      <c r="M23" s="25" t="s">
        <v>620</v>
      </c>
      <c r="N23" s="374" t="s">
        <v>620</v>
      </c>
    </row>
    <row r="24" spans="1:13" ht="26.25">
      <c r="A24" s="29">
        <v>6</v>
      </c>
      <c r="B24" s="24" t="s">
        <v>368</v>
      </c>
      <c r="C24" s="29"/>
      <c r="D24" s="29"/>
      <c r="E24" s="29"/>
      <c r="F24" s="29"/>
      <c r="G24" s="29"/>
      <c r="H24" s="29"/>
      <c r="I24" s="29"/>
      <c r="J24" s="18"/>
      <c r="K24" s="29"/>
      <c r="L24" s="29"/>
      <c r="M24" s="21" t="s">
        <v>620</v>
      </c>
    </row>
    <row r="25" spans="1:13" s="26" customFormat="1" ht="30" customHeight="1">
      <c r="A25" s="38" t="s">
        <v>372</v>
      </c>
      <c r="B25" s="39"/>
      <c r="C25" s="28">
        <f>SUM(C16:C18)</f>
        <v>29</v>
      </c>
      <c r="D25" s="28"/>
      <c r="E25" s="28" t="s">
        <v>206</v>
      </c>
      <c r="F25" s="28">
        <f>SUM(F16:F18)</f>
        <v>2565.84</v>
      </c>
      <c r="G25" s="28">
        <f>SUM(G16:G18)</f>
        <v>1407.77</v>
      </c>
      <c r="H25" s="28"/>
      <c r="I25" s="28">
        <f>SUM(I16:I18)</f>
        <v>1334.03</v>
      </c>
      <c r="K25" s="28">
        <f>SUM(K16:K24)</f>
        <v>1592.3600000000001</v>
      </c>
      <c r="L25" s="28"/>
      <c r="M25" s="25">
        <v>6900</v>
      </c>
    </row>
    <row r="26" spans="10:12" ht="18" customHeight="1">
      <c r="J26" s="18"/>
      <c r="L26" s="22"/>
    </row>
    <row r="27" spans="2:12" ht="26.25" customHeight="1">
      <c r="B27" s="34" t="s">
        <v>371</v>
      </c>
      <c r="C27" s="34"/>
      <c r="D27" s="34"/>
      <c r="F27" s="34"/>
      <c r="G27" s="34"/>
      <c r="H27" s="34"/>
      <c r="I27" s="34"/>
      <c r="J27" s="18"/>
      <c r="L27" s="23"/>
    </row>
    <row r="28" ht="15">
      <c r="J28" s="1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J23"/>
  <sheetViews>
    <sheetView zoomScalePageLayoutView="0" workbookViewId="0" topLeftCell="A7">
      <selection activeCell="C16" sqref="C16:J21"/>
    </sheetView>
  </sheetViews>
  <sheetFormatPr defaultColWidth="9.140625" defaultRowHeight="15"/>
  <cols>
    <col min="1" max="1" width="4.140625" style="1" customWidth="1"/>
    <col min="2" max="2" width="21.7109375" style="1" customWidth="1"/>
    <col min="3" max="3" width="14.8515625" style="1" customWidth="1"/>
    <col min="4" max="4" width="9.00390625" style="1" customWidth="1"/>
    <col min="5" max="5" width="16.421875" style="1" customWidth="1"/>
    <col min="6" max="6" width="18.421875" style="1" customWidth="1"/>
    <col min="7" max="7" width="17.8515625" style="1" customWidth="1"/>
    <col min="8" max="8" width="14.28125" style="1" customWidth="1"/>
    <col min="9" max="9" width="15.8515625" style="1" customWidth="1"/>
    <col min="10" max="10" width="17.7109375" style="1" customWidth="1"/>
    <col min="11" max="16384" width="9.140625" style="1" customWidth="1"/>
  </cols>
  <sheetData>
    <row r="4" spans="1:10" ht="15">
      <c r="A4" s="723" t="s">
        <v>360</v>
      </c>
      <c r="B4" s="723"/>
      <c r="C4" s="723"/>
      <c r="D4" s="723"/>
      <c r="E4" s="723"/>
      <c r="F4" s="723"/>
      <c r="G4" s="723"/>
      <c r="H4" s="723"/>
      <c r="I4" s="723"/>
      <c r="J4" s="723"/>
    </row>
    <row r="5" spans="1:10" ht="15">
      <c r="A5" s="723" t="s">
        <v>209</v>
      </c>
      <c r="B5" s="723"/>
      <c r="C5" s="723"/>
      <c r="D5" s="723"/>
      <c r="E5" s="723"/>
      <c r="F5" s="723"/>
      <c r="G5" s="723"/>
      <c r="H5" s="723"/>
      <c r="I5" s="723"/>
      <c r="J5" s="723"/>
    </row>
    <row r="6" spans="1:10" ht="15">
      <c r="A6" s="724" t="s">
        <v>208</v>
      </c>
      <c r="B6" s="724"/>
      <c r="C6" s="724"/>
      <c r="D6" s="724"/>
      <c r="E6" s="724"/>
      <c r="F6" s="724"/>
      <c r="G6" s="724"/>
      <c r="H6" s="724"/>
      <c r="I6" s="724"/>
      <c r="J6" s="724"/>
    </row>
    <row r="8" spans="1:10" ht="15" customHeight="1">
      <c r="A8" s="725" t="s">
        <v>362</v>
      </c>
      <c r="B8" s="725"/>
      <c r="C8" s="725"/>
      <c r="D8" s="725"/>
      <c r="E8" s="725"/>
      <c r="F8" s="725"/>
      <c r="G8" s="725"/>
      <c r="H8" s="725"/>
      <c r="I8" s="725"/>
      <c r="J8" s="725"/>
    </row>
    <row r="10" spans="1:10" ht="15">
      <c r="A10" s="723" t="s">
        <v>207</v>
      </c>
      <c r="B10" s="723"/>
      <c r="C10" s="723"/>
      <c r="D10" s="723"/>
      <c r="E10" s="723"/>
      <c r="F10" s="723"/>
      <c r="G10" s="723"/>
      <c r="H10" s="723"/>
      <c r="I10" s="723"/>
      <c r="J10" s="723"/>
    </row>
    <row r="12" spans="1:10" ht="15">
      <c r="A12" s="722" t="s">
        <v>193</v>
      </c>
      <c r="B12" s="722" t="s">
        <v>194</v>
      </c>
      <c r="C12" s="722" t="s">
        <v>195</v>
      </c>
      <c r="D12" s="722" t="s">
        <v>201</v>
      </c>
      <c r="E12" s="722"/>
      <c r="F12" s="722"/>
      <c r="G12" s="722"/>
      <c r="H12" s="722" t="s">
        <v>202</v>
      </c>
      <c r="I12" s="722" t="s">
        <v>203</v>
      </c>
      <c r="J12" s="722" t="s">
        <v>204</v>
      </c>
    </row>
    <row r="13" spans="1:10" ht="15">
      <c r="A13" s="722"/>
      <c r="B13" s="722"/>
      <c r="C13" s="722"/>
      <c r="D13" s="722" t="s">
        <v>196</v>
      </c>
      <c r="E13" s="722" t="s">
        <v>200</v>
      </c>
      <c r="F13" s="722"/>
      <c r="G13" s="722"/>
      <c r="H13" s="722"/>
      <c r="I13" s="722"/>
      <c r="J13" s="722"/>
    </row>
    <row r="14" spans="1:10" ht="46.5" customHeight="1">
      <c r="A14" s="722"/>
      <c r="B14" s="722"/>
      <c r="C14" s="722"/>
      <c r="D14" s="722"/>
      <c r="E14" s="2" t="s">
        <v>197</v>
      </c>
      <c r="F14" s="2" t="s">
        <v>198</v>
      </c>
      <c r="G14" s="2" t="s">
        <v>199</v>
      </c>
      <c r="H14" s="722"/>
      <c r="I14" s="722"/>
      <c r="J14" s="722"/>
    </row>
    <row r="15" spans="1:10" ht="1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ht="45">
      <c r="A16" s="3">
        <v>1</v>
      </c>
      <c r="B16" s="3" t="s">
        <v>363</v>
      </c>
      <c r="C16" s="3"/>
      <c r="D16" s="3"/>
      <c r="E16" s="3"/>
      <c r="F16" s="3"/>
      <c r="G16" s="3"/>
      <c r="H16" s="3"/>
      <c r="I16" s="3"/>
      <c r="J16" s="16"/>
    </row>
    <row r="17" spans="1:10" ht="75">
      <c r="A17" s="3">
        <v>2</v>
      </c>
      <c r="B17" s="3" t="s">
        <v>364</v>
      </c>
      <c r="C17" s="3"/>
      <c r="D17" s="3"/>
      <c r="E17" s="3"/>
      <c r="F17" s="3"/>
      <c r="G17" s="3"/>
      <c r="H17" s="3"/>
      <c r="I17" s="3"/>
      <c r="J17" s="16"/>
    </row>
    <row r="18" spans="1:10" ht="75">
      <c r="A18" s="3">
        <v>3</v>
      </c>
      <c r="B18" s="3" t="s">
        <v>365</v>
      </c>
      <c r="C18" s="3"/>
      <c r="D18" s="3"/>
      <c r="E18" s="3"/>
      <c r="F18" s="3"/>
      <c r="G18" s="3"/>
      <c r="H18" s="3"/>
      <c r="I18" s="3"/>
      <c r="J18" s="16"/>
    </row>
    <row r="19" spans="1:10" ht="45">
      <c r="A19" s="3">
        <v>4</v>
      </c>
      <c r="B19" s="3" t="s">
        <v>366</v>
      </c>
      <c r="C19" s="3"/>
      <c r="D19" s="3"/>
      <c r="E19" s="3"/>
      <c r="F19" s="3"/>
      <c r="G19" s="3"/>
      <c r="H19" s="3"/>
      <c r="I19" s="3"/>
      <c r="J19" s="16"/>
    </row>
    <row r="20" spans="1:10" ht="30">
      <c r="A20" s="3">
        <v>5</v>
      </c>
      <c r="B20" s="3" t="s">
        <v>367</v>
      </c>
      <c r="C20" s="3"/>
      <c r="D20" s="3"/>
      <c r="E20" s="3"/>
      <c r="F20" s="3"/>
      <c r="G20" s="3"/>
      <c r="H20" s="3"/>
      <c r="I20" s="3"/>
      <c r="J20" s="16"/>
    </row>
    <row r="21" spans="1:10" ht="15">
      <c r="A21" s="3"/>
      <c r="B21" s="3" t="s">
        <v>205</v>
      </c>
      <c r="C21" s="3"/>
      <c r="D21" s="3"/>
      <c r="E21" s="3"/>
      <c r="F21" s="3"/>
      <c r="G21" s="3"/>
      <c r="H21" s="3"/>
      <c r="I21" s="3"/>
      <c r="J21" s="16"/>
    </row>
    <row r="22" spans="1:10" ht="45">
      <c r="A22" s="3">
        <v>6</v>
      </c>
      <c r="B22" s="3" t="s">
        <v>368</v>
      </c>
      <c r="C22" s="3"/>
      <c r="D22" s="3"/>
      <c r="E22" s="3"/>
      <c r="F22" s="3"/>
      <c r="G22" s="3"/>
      <c r="H22" s="3"/>
      <c r="I22" s="3"/>
      <c r="J22" s="16">
        <f>'[1]Штат-бюджет'!$G$158*1000</f>
        <v>0</v>
      </c>
    </row>
    <row r="23" spans="1:10" ht="15">
      <c r="A23" s="726" t="s">
        <v>205</v>
      </c>
      <c r="B23" s="727"/>
      <c r="C23" s="3" t="s">
        <v>206</v>
      </c>
      <c r="D23" s="3"/>
      <c r="E23" s="3" t="s">
        <v>206</v>
      </c>
      <c r="F23" s="3" t="s">
        <v>206</v>
      </c>
      <c r="G23" s="3" t="s">
        <v>206</v>
      </c>
      <c r="H23" s="3" t="s">
        <v>206</v>
      </c>
      <c r="I23" s="3" t="s">
        <v>206</v>
      </c>
      <c r="J23" s="16">
        <f>J21+J22</f>
        <v>0</v>
      </c>
    </row>
  </sheetData>
  <sheetProtection/>
  <mergeCells count="15">
    <mergeCell ref="A4:J4"/>
    <mergeCell ref="A5:J5"/>
    <mergeCell ref="A6:J6"/>
    <mergeCell ref="A8:J8"/>
    <mergeCell ref="A23:B23"/>
    <mergeCell ref="A10:J10"/>
    <mergeCell ref="A12:A14"/>
    <mergeCell ref="B12:B14"/>
    <mergeCell ref="C12:C14"/>
    <mergeCell ref="D12:G12"/>
    <mergeCell ref="H12:H14"/>
    <mergeCell ref="I12:I14"/>
    <mergeCell ref="J12:J14"/>
    <mergeCell ref="D13:D14"/>
    <mergeCell ref="E13:G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18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.140625" style="1" customWidth="1"/>
    <col min="2" max="2" width="14.57421875" style="1" customWidth="1"/>
    <col min="3" max="3" width="14.8515625" style="1" customWidth="1"/>
    <col min="4" max="4" width="9.00390625" style="1" customWidth="1"/>
    <col min="5" max="5" width="16.421875" style="1" customWidth="1"/>
    <col min="6" max="6" width="18.421875" style="1" customWidth="1"/>
    <col min="7" max="7" width="17.8515625" style="1" customWidth="1"/>
    <col min="8" max="8" width="14.28125" style="1" customWidth="1"/>
    <col min="9" max="9" width="15.8515625" style="1" customWidth="1"/>
    <col min="10" max="10" width="17.7109375" style="1" customWidth="1"/>
    <col min="11" max="16384" width="9.140625" style="1" customWidth="1"/>
  </cols>
  <sheetData>
    <row r="4" spans="1:10" ht="15">
      <c r="A4" s="723" t="s">
        <v>360</v>
      </c>
      <c r="B4" s="723"/>
      <c r="C4" s="723"/>
      <c r="D4" s="723"/>
      <c r="E4" s="723"/>
      <c r="F4" s="723"/>
      <c r="G4" s="723"/>
      <c r="H4" s="723"/>
      <c r="I4" s="723"/>
      <c r="J4" s="723"/>
    </row>
    <row r="5" spans="1:10" ht="15">
      <c r="A5" s="723" t="s">
        <v>209</v>
      </c>
      <c r="B5" s="723"/>
      <c r="C5" s="723"/>
      <c r="D5" s="723"/>
      <c r="E5" s="723"/>
      <c r="F5" s="723"/>
      <c r="G5" s="723"/>
      <c r="H5" s="723"/>
      <c r="I5" s="723"/>
      <c r="J5" s="723"/>
    </row>
    <row r="6" spans="1:10" ht="15">
      <c r="A6" s="724" t="s">
        <v>208</v>
      </c>
      <c r="B6" s="724"/>
      <c r="C6" s="724"/>
      <c r="D6" s="724"/>
      <c r="E6" s="724"/>
      <c r="F6" s="724"/>
      <c r="G6" s="724"/>
      <c r="H6" s="724"/>
      <c r="I6" s="724"/>
      <c r="J6" s="724"/>
    </row>
    <row r="8" spans="1:10" ht="15" customHeight="1">
      <c r="A8" s="724" t="s">
        <v>621</v>
      </c>
      <c r="B8" s="724"/>
      <c r="C8" s="724"/>
      <c r="D8" s="724"/>
      <c r="E8" s="724"/>
      <c r="F8" s="724"/>
      <c r="G8" s="724"/>
      <c r="H8" s="724"/>
      <c r="I8" s="724"/>
      <c r="J8" s="724"/>
    </row>
    <row r="10" spans="1:10" ht="15">
      <c r="A10" s="723" t="s">
        <v>207</v>
      </c>
      <c r="B10" s="723"/>
      <c r="C10" s="723"/>
      <c r="D10" s="723"/>
      <c r="E10" s="723"/>
      <c r="F10" s="723"/>
      <c r="G10" s="723"/>
      <c r="H10" s="723"/>
      <c r="I10" s="723"/>
      <c r="J10" s="723"/>
    </row>
    <row r="12" spans="1:10" ht="15">
      <c r="A12" s="722" t="s">
        <v>193</v>
      </c>
      <c r="B12" s="722" t="s">
        <v>194</v>
      </c>
      <c r="C12" s="722" t="s">
        <v>195</v>
      </c>
      <c r="D12" s="722" t="s">
        <v>201</v>
      </c>
      <c r="E12" s="722"/>
      <c r="F12" s="722"/>
      <c r="G12" s="722"/>
      <c r="H12" s="722" t="s">
        <v>202</v>
      </c>
      <c r="I12" s="722" t="s">
        <v>203</v>
      </c>
      <c r="J12" s="722" t="s">
        <v>204</v>
      </c>
    </row>
    <row r="13" spans="1:10" ht="15">
      <c r="A13" s="722"/>
      <c r="B13" s="722"/>
      <c r="C13" s="722"/>
      <c r="D13" s="722" t="s">
        <v>196</v>
      </c>
      <c r="E13" s="722" t="s">
        <v>200</v>
      </c>
      <c r="F13" s="722"/>
      <c r="G13" s="722"/>
      <c r="H13" s="722"/>
      <c r="I13" s="722"/>
      <c r="J13" s="722"/>
    </row>
    <row r="14" spans="1:10" ht="46.5" customHeight="1">
      <c r="A14" s="722"/>
      <c r="B14" s="722"/>
      <c r="C14" s="722"/>
      <c r="D14" s="722"/>
      <c r="E14" s="2" t="s">
        <v>197</v>
      </c>
      <c r="F14" s="2" t="s">
        <v>198</v>
      </c>
      <c r="G14" s="2" t="s">
        <v>199</v>
      </c>
      <c r="H14" s="722"/>
      <c r="I14" s="722"/>
      <c r="J14" s="722"/>
    </row>
    <row r="15" spans="1:10" ht="1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ht="15">
      <c r="A16" s="3">
        <v>1</v>
      </c>
      <c r="B16" s="3" t="s">
        <v>622</v>
      </c>
      <c r="C16" s="3">
        <v>1</v>
      </c>
      <c r="D16" s="3">
        <v>47759.14</v>
      </c>
      <c r="E16" s="3">
        <v>33398</v>
      </c>
      <c r="F16" s="3">
        <v>3339.8</v>
      </c>
      <c r="G16" s="3">
        <v>5130</v>
      </c>
      <c r="H16" s="3"/>
      <c r="I16" s="3">
        <v>11021.34</v>
      </c>
      <c r="J16" s="3"/>
    </row>
    <row r="17" spans="1:10" ht="30">
      <c r="A17" s="3">
        <v>2</v>
      </c>
      <c r="B17" s="3" t="s">
        <v>623</v>
      </c>
      <c r="C17" s="3">
        <v>1</v>
      </c>
      <c r="D17" s="3">
        <v>33397</v>
      </c>
      <c r="E17" s="3">
        <v>25690</v>
      </c>
      <c r="F17" s="3"/>
      <c r="G17" s="3">
        <v>1150</v>
      </c>
      <c r="H17" s="3"/>
      <c r="I17" s="3">
        <v>7707</v>
      </c>
      <c r="J17" s="3"/>
    </row>
    <row r="18" spans="1:10" ht="30">
      <c r="A18" s="3">
        <v>3</v>
      </c>
      <c r="B18" s="3" t="s">
        <v>624</v>
      </c>
      <c r="C18" s="3">
        <v>1</v>
      </c>
      <c r="D18" s="3">
        <v>15028.65</v>
      </c>
      <c r="E18" s="3">
        <v>11560.5</v>
      </c>
      <c r="F18" s="3"/>
      <c r="G18" s="3">
        <v>1150</v>
      </c>
      <c r="H18" s="3"/>
      <c r="I18" s="3">
        <v>3468.15</v>
      </c>
      <c r="J18" s="3"/>
    </row>
  </sheetData>
  <sheetProtection/>
  <mergeCells count="14">
    <mergeCell ref="D12:G12"/>
    <mergeCell ref="A12:A14"/>
    <mergeCell ref="B12:B14"/>
    <mergeCell ref="C12:C14"/>
    <mergeCell ref="A6:J6"/>
    <mergeCell ref="A4:J4"/>
    <mergeCell ref="A5:J5"/>
    <mergeCell ref="H12:H14"/>
    <mergeCell ref="I12:I14"/>
    <mergeCell ref="J12:J14"/>
    <mergeCell ref="A10:J10"/>
    <mergeCell ref="A8:J8"/>
    <mergeCell ref="E13:G13"/>
    <mergeCell ref="D13:D1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0">
      <selection activeCell="L9" sqref="L9"/>
    </sheetView>
  </sheetViews>
  <sheetFormatPr defaultColWidth="9.140625" defaultRowHeight="15"/>
  <cols>
    <col min="1" max="1" width="4.7109375" style="0" customWidth="1"/>
    <col min="2" max="2" width="35.421875" style="0" customWidth="1"/>
    <col min="3" max="3" width="14.7109375" style="0" customWidth="1"/>
    <col min="4" max="4" width="12.00390625" style="0" customWidth="1"/>
    <col min="5" max="5" width="11.7109375" style="0" customWidth="1"/>
    <col min="6" max="6" width="13.57421875" style="0" customWidth="1"/>
  </cols>
  <sheetData>
    <row r="1" spans="1:10" ht="15" customHeight="1">
      <c r="A1" s="723" t="s">
        <v>209</v>
      </c>
      <c r="B1" s="723"/>
      <c r="C1" s="723"/>
      <c r="D1" s="723"/>
      <c r="E1" s="723"/>
      <c r="F1" s="723"/>
      <c r="G1" s="10"/>
      <c r="H1" s="10"/>
      <c r="I1" s="10"/>
      <c r="J1" s="10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724" t="s">
        <v>210</v>
      </c>
      <c r="B3" s="724"/>
      <c r="C3" s="724"/>
      <c r="D3" s="724"/>
      <c r="E3" s="724"/>
      <c r="F3" s="724"/>
      <c r="G3" s="724"/>
      <c r="H3" s="724"/>
      <c r="I3" s="724"/>
      <c r="J3" s="724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724" t="s">
        <v>211</v>
      </c>
      <c r="B5" s="724"/>
      <c r="C5" s="724"/>
      <c r="D5" s="724"/>
      <c r="E5" s="724"/>
      <c r="F5" s="724"/>
      <c r="G5" s="724"/>
      <c r="H5" s="724"/>
      <c r="I5" s="724"/>
      <c r="J5" s="724"/>
    </row>
    <row r="7" spans="1:11" ht="15">
      <c r="A7" s="728" t="s">
        <v>212</v>
      </c>
      <c r="B7" s="728"/>
      <c r="C7" s="728"/>
      <c r="D7" s="728"/>
      <c r="E7" s="728"/>
      <c r="F7" s="728"/>
      <c r="G7" s="9"/>
      <c r="H7" s="9"/>
      <c r="I7" s="9"/>
      <c r="J7" s="9"/>
      <c r="K7" s="9"/>
    </row>
    <row r="9" spans="1:6" ht="90">
      <c r="A9" s="2" t="s">
        <v>193</v>
      </c>
      <c r="B9" s="2" t="s">
        <v>213</v>
      </c>
      <c r="C9" s="2" t="s">
        <v>214</v>
      </c>
      <c r="D9" s="2" t="s">
        <v>215</v>
      </c>
      <c r="E9" s="2" t="s">
        <v>216</v>
      </c>
      <c r="F9" s="2" t="s">
        <v>217</v>
      </c>
    </row>
    <row r="10" spans="1:6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6" ht="60">
      <c r="A11" s="6">
        <v>1</v>
      </c>
      <c r="B11" s="7" t="s">
        <v>218</v>
      </c>
      <c r="C11" s="6" t="s">
        <v>206</v>
      </c>
      <c r="D11" s="6" t="s">
        <v>206</v>
      </c>
      <c r="E11" s="6" t="s">
        <v>206</v>
      </c>
      <c r="F11" s="5"/>
    </row>
    <row r="12" spans="1:6" ht="76.5" customHeight="1">
      <c r="A12" s="6" t="s">
        <v>219</v>
      </c>
      <c r="B12" s="7" t="s">
        <v>220</v>
      </c>
      <c r="C12" s="5"/>
      <c r="D12" s="5"/>
      <c r="E12" s="5"/>
      <c r="F12" s="5"/>
    </row>
    <row r="13" spans="1:6" ht="30">
      <c r="A13" s="6" t="s">
        <v>221</v>
      </c>
      <c r="B13" s="7" t="s">
        <v>222</v>
      </c>
      <c r="C13" s="5"/>
      <c r="D13" s="5"/>
      <c r="E13" s="5"/>
      <c r="F13" s="5"/>
    </row>
    <row r="14" spans="1:6" ht="30">
      <c r="A14" s="6" t="s">
        <v>223</v>
      </c>
      <c r="B14" s="8" t="s">
        <v>224</v>
      </c>
      <c r="C14" s="5"/>
      <c r="D14" s="5"/>
      <c r="E14" s="5"/>
      <c r="F14" s="5"/>
    </row>
    <row r="15" spans="1:6" ht="15">
      <c r="A15" s="6"/>
      <c r="B15" s="7"/>
      <c r="C15" s="5"/>
      <c r="D15" s="5"/>
      <c r="E15" s="5"/>
      <c r="F15" s="5"/>
    </row>
    <row r="16" spans="1:6" ht="15">
      <c r="A16" s="6"/>
      <c r="B16" s="7"/>
      <c r="C16" s="5"/>
      <c r="D16" s="5"/>
      <c r="E16" s="5"/>
      <c r="F16" s="5"/>
    </row>
    <row r="17" spans="1:6" ht="51" customHeight="1">
      <c r="A17" s="6">
        <v>2</v>
      </c>
      <c r="B17" s="7" t="s">
        <v>225</v>
      </c>
      <c r="C17" s="6" t="s">
        <v>206</v>
      </c>
      <c r="D17" s="6" t="s">
        <v>206</v>
      </c>
      <c r="E17" s="6" t="s">
        <v>206</v>
      </c>
      <c r="F17" s="5"/>
    </row>
    <row r="18" spans="1:6" ht="75">
      <c r="A18" s="6" t="s">
        <v>226</v>
      </c>
      <c r="B18" s="7" t="s">
        <v>220</v>
      </c>
      <c r="C18" s="5"/>
      <c r="D18" s="5"/>
      <c r="E18" s="5"/>
      <c r="F18" s="5"/>
    </row>
    <row r="19" spans="1:6" ht="30">
      <c r="A19" s="6" t="s">
        <v>227</v>
      </c>
      <c r="B19" s="7" t="s">
        <v>222</v>
      </c>
      <c r="C19" s="5"/>
      <c r="D19" s="5"/>
      <c r="E19" s="5"/>
      <c r="F19" s="5"/>
    </row>
    <row r="20" spans="1:6" ht="30">
      <c r="A20" s="6" t="s">
        <v>228</v>
      </c>
      <c r="B20" s="8" t="s">
        <v>224</v>
      </c>
      <c r="C20" s="5"/>
      <c r="D20" s="5"/>
      <c r="E20" s="5"/>
      <c r="F20" s="5"/>
    </row>
    <row r="21" spans="1:6" ht="15">
      <c r="A21" s="6"/>
      <c r="B21" s="7"/>
      <c r="C21" s="5"/>
      <c r="D21" s="5"/>
      <c r="E21" s="5"/>
      <c r="F21" s="5"/>
    </row>
    <row r="22" spans="1:6" ht="15">
      <c r="A22" s="6"/>
      <c r="B22" s="7"/>
      <c r="C22" s="5"/>
      <c r="D22" s="5"/>
      <c r="E22" s="5"/>
      <c r="F22" s="5"/>
    </row>
    <row r="23" spans="1:6" ht="15">
      <c r="A23" s="5"/>
      <c r="B23" s="8" t="s">
        <v>229</v>
      </c>
      <c r="C23" s="6" t="s">
        <v>206</v>
      </c>
      <c r="D23" s="6" t="s">
        <v>206</v>
      </c>
      <c r="E23" s="6" t="s">
        <v>206</v>
      </c>
      <c r="F23" s="5"/>
    </row>
  </sheetData>
  <sheetProtection/>
  <mergeCells count="4">
    <mergeCell ref="A3:J3"/>
    <mergeCell ref="A5:J5"/>
    <mergeCell ref="A7:F7"/>
    <mergeCell ref="A1:F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140625" style="1" customWidth="1"/>
    <col min="2" max="2" width="38.00390625" style="1" customWidth="1"/>
    <col min="3" max="3" width="14.140625" style="1" customWidth="1"/>
    <col min="4" max="4" width="14.421875" style="1" customWidth="1"/>
    <col min="5" max="5" width="15.00390625" style="1" customWidth="1"/>
    <col min="6" max="6" width="14.00390625" style="1" customWidth="1"/>
    <col min="7" max="16384" width="9.140625" style="1" customWidth="1"/>
  </cols>
  <sheetData>
    <row r="2" spans="1:6" ht="15">
      <c r="A2" s="723" t="s">
        <v>209</v>
      </c>
      <c r="B2" s="723"/>
      <c r="C2" s="723"/>
      <c r="D2" s="723"/>
      <c r="E2" s="723"/>
      <c r="F2" s="723"/>
    </row>
    <row r="3" spans="1:6" ht="15">
      <c r="A3" s="724" t="s">
        <v>234</v>
      </c>
      <c r="B3" s="724"/>
      <c r="C3" s="724"/>
      <c r="D3" s="724"/>
      <c r="E3" s="724"/>
      <c r="F3" s="724"/>
    </row>
    <row r="5" spans="1:6" ht="15" customHeight="1">
      <c r="A5" s="724" t="s">
        <v>235</v>
      </c>
      <c r="B5" s="724"/>
      <c r="C5" s="724"/>
      <c r="D5" s="724"/>
      <c r="E5" s="724"/>
      <c r="F5" s="724"/>
    </row>
    <row r="7" spans="1:6" ht="15">
      <c r="A7" s="723" t="s">
        <v>230</v>
      </c>
      <c r="B7" s="723"/>
      <c r="C7" s="723"/>
      <c r="D7" s="723"/>
      <c r="E7" s="723"/>
      <c r="F7" s="723"/>
    </row>
    <row r="9" spans="1:6" ht="59.25" customHeight="1">
      <c r="A9" s="2" t="s">
        <v>193</v>
      </c>
      <c r="B9" s="2" t="s">
        <v>213</v>
      </c>
      <c r="C9" s="2" t="s">
        <v>231</v>
      </c>
      <c r="D9" s="2" t="s">
        <v>232</v>
      </c>
      <c r="E9" s="2" t="s">
        <v>233</v>
      </c>
      <c r="F9" s="2" t="s">
        <v>217</v>
      </c>
    </row>
    <row r="10" spans="1:6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>
      <c r="A11" s="3">
        <v>1</v>
      </c>
      <c r="B11" s="12" t="s">
        <v>236</v>
      </c>
      <c r="C11" s="3">
        <v>1</v>
      </c>
      <c r="D11" s="3"/>
      <c r="E11" s="3">
        <v>0</v>
      </c>
      <c r="F11" s="3">
        <v>0</v>
      </c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 customHeight="1">
      <c r="A14" s="7"/>
      <c r="B14" s="7" t="s">
        <v>205</v>
      </c>
      <c r="C14" s="3" t="s">
        <v>206</v>
      </c>
      <c r="D14" s="3" t="s">
        <v>206</v>
      </c>
      <c r="E14" s="3" t="s">
        <v>206</v>
      </c>
      <c r="F14" s="3"/>
    </row>
  </sheetData>
  <sheetProtection/>
  <mergeCells count="4">
    <mergeCell ref="A2:F2"/>
    <mergeCell ref="A3:F3"/>
    <mergeCell ref="A5:F5"/>
    <mergeCell ref="A7:F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7">
      <selection activeCell="C12" sqref="C12"/>
    </sheetView>
  </sheetViews>
  <sheetFormatPr defaultColWidth="9.140625" defaultRowHeight="15"/>
  <cols>
    <col min="1" max="1" width="6.28125" style="1" customWidth="1"/>
    <col min="2" max="2" width="65.57421875" style="1" customWidth="1"/>
    <col min="3" max="3" width="13.57421875" style="1" customWidth="1"/>
    <col min="4" max="4" width="14.421875" style="1" customWidth="1"/>
    <col min="5" max="16384" width="9.140625" style="1" customWidth="1"/>
  </cols>
  <sheetData>
    <row r="2" spans="1:4" ht="15">
      <c r="A2" s="723" t="s">
        <v>237</v>
      </c>
      <c r="B2" s="723"/>
      <c r="C2" s="723"/>
      <c r="D2" s="723"/>
    </row>
    <row r="3" spans="1:4" ht="15">
      <c r="A3" s="724" t="s">
        <v>234</v>
      </c>
      <c r="B3" s="724"/>
      <c r="C3" s="724"/>
      <c r="D3" s="724"/>
    </row>
    <row r="5" spans="1:4" ht="15" customHeight="1">
      <c r="A5" s="724" t="s">
        <v>235</v>
      </c>
      <c r="B5" s="724"/>
      <c r="C5" s="724"/>
      <c r="D5" s="724"/>
    </row>
    <row r="7" spans="1:4" ht="48.75" customHeight="1">
      <c r="A7" s="723" t="s">
        <v>238</v>
      </c>
      <c r="B7" s="723"/>
      <c r="C7" s="723"/>
      <c r="D7" s="723"/>
    </row>
    <row r="9" spans="1:4" ht="80.25" customHeight="1">
      <c r="A9" s="2" t="s">
        <v>193</v>
      </c>
      <c r="B9" s="2" t="s">
        <v>239</v>
      </c>
      <c r="C9" s="2" t="s">
        <v>240</v>
      </c>
      <c r="D9" s="2" t="s">
        <v>241</v>
      </c>
    </row>
    <row r="10" spans="1:4" ht="15">
      <c r="A10" s="2">
        <v>1</v>
      </c>
      <c r="B10" s="2">
        <v>2</v>
      </c>
      <c r="C10" s="2">
        <v>3</v>
      </c>
      <c r="D10" s="2">
        <v>4</v>
      </c>
    </row>
    <row r="11" spans="1:4" ht="30">
      <c r="A11" s="2" t="s">
        <v>247</v>
      </c>
      <c r="B11" s="12" t="s">
        <v>242</v>
      </c>
      <c r="C11" s="3" t="s">
        <v>206</v>
      </c>
      <c r="D11" s="3"/>
    </row>
    <row r="12" spans="1:4" ht="30">
      <c r="A12" s="14" t="s">
        <v>219</v>
      </c>
      <c r="B12" s="12" t="s">
        <v>243</v>
      </c>
      <c r="C12" s="3">
        <v>6900000</v>
      </c>
      <c r="D12" s="3">
        <v>1518000</v>
      </c>
    </row>
    <row r="13" spans="1:4" ht="15">
      <c r="A13" s="2" t="s">
        <v>221</v>
      </c>
      <c r="B13" s="12" t="s">
        <v>244</v>
      </c>
      <c r="C13" s="3"/>
      <c r="D13" s="3"/>
    </row>
    <row r="14" spans="1:4" ht="29.25" customHeight="1">
      <c r="A14" s="14" t="s">
        <v>223</v>
      </c>
      <c r="B14" s="7" t="s">
        <v>245</v>
      </c>
      <c r="C14" s="3"/>
      <c r="D14" s="3"/>
    </row>
    <row r="15" spans="1:4" ht="30">
      <c r="A15" s="14" t="s">
        <v>246</v>
      </c>
      <c r="B15" s="12" t="s">
        <v>248</v>
      </c>
      <c r="C15" s="2" t="s">
        <v>206</v>
      </c>
      <c r="D15" s="3"/>
    </row>
    <row r="16" spans="1:4" ht="45">
      <c r="A16" s="14" t="s">
        <v>226</v>
      </c>
      <c r="B16" s="12" t="s">
        <v>249</v>
      </c>
      <c r="C16" s="3"/>
      <c r="D16" s="3">
        <v>200100</v>
      </c>
    </row>
    <row r="17" spans="1:4" ht="30">
      <c r="A17" s="14" t="s">
        <v>227</v>
      </c>
      <c r="B17" s="12" t="s">
        <v>250</v>
      </c>
      <c r="C17" s="3"/>
      <c r="D17" s="3"/>
    </row>
    <row r="18" spans="1:4" ht="30">
      <c r="A18" s="14" t="s">
        <v>228</v>
      </c>
      <c r="B18" s="12" t="s">
        <v>251</v>
      </c>
      <c r="C18" s="3"/>
      <c r="D18" s="3">
        <v>13800</v>
      </c>
    </row>
    <row r="19" spans="1:4" ht="30">
      <c r="A19" s="14" t="s">
        <v>252</v>
      </c>
      <c r="B19" s="12" t="s">
        <v>253</v>
      </c>
      <c r="C19" s="3"/>
      <c r="D19" s="3"/>
    </row>
    <row r="20" spans="1:4" ht="30">
      <c r="A20" s="14" t="s">
        <v>254</v>
      </c>
      <c r="B20" s="12" t="s">
        <v>253</v>
      </c>
      <c r="C20" s="3"/>
      <c r="D20" s="3"/>
    </row>
    <row r="21" spans="1:4" ht="30">
      <c r="A21" s="14" t="s">
        <v>255</v>
      </c>
      <c r="B21" s="12" t="s">
        <v>256</v>
      </c>
      <c r="C21" s="3"/>
      <c r="D21" s="3">
        <v>351900</v>
      </c>
    </row>
    <row r="22" spans="1:4" ht="15">
      <c r="A22" s="13"/>
      <c r="B22" s="12" t="s">
        <v>229</v>
      </c>
      <c r="C22" s="3" t="s">
        <v>206</v>
      </c>
      <c r="D22" s="3">
        <v>2083800</v>
      </c>
    </row>
    <row r="24" spans="1:4" ht="79.5" customHeight="1">
      <c r="A24" s="729" t="s">
        <v>257</v>
      </c>
      <c r="B24" s="729"/>
      <c r="C24" s="729"/>
      <c r="D24" s="729"/>
    </row>
  </sheetData>
  <sheetProtection/>
  <mergeCells count="5">
    <mergeCell ref="A24:D24"/>
    <mergeCell ref="A2:D2"/>
    <mergeCell ref="A3:D3"/>
    <mergeCell ref="A5:D5"/>
    <mergeCell ref="A7:D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6.28125" style="1" customWidth="1"/>
    <col min="2" max="2" width="44.28125" style="1" customWidth="1"/>
    <col min="3" max="3" width="13.57421875" style="1" customWidth="1"/>
    <col min="4" max="4" width="14.421875" style="1" customWidth="1"/>
    <col min="5" max="5" width="15.421875" style="1" customWidth="1"/>
    <col min="6" max="16384" width="9.140625" style="1" customWidth="1"/>
  </cols>
  <sheetData>
    <row r="2" spans="1:5" ht="15" customHeight="1">
      <c r="A2" s="723" t="s">
        <v>277</v>
      </c>
      <c r="B2" s="723"/>
      <c r="C2" s="723"/>
      <c r="D2" s="723"/>
      <c r="E2" s="723"/>
    </row>
    <row r="3" spans="1:5" ht="15" customHeight="1">
      <c r="A3" s="11"/>
      <c r="B3" s="11"/>
      <c r="C3" s="11"/>
      <c r="D3" s="11"/>
      <c r="E3" s="11"/>
    </row>
    <row r="4" spans="1:5" ht="15" customHeight="1">
      <c r="A4" s="723" t="s">
        <v>234</v>
      </c>
      <c r="B4" s="723"/>
      <c r="C4" s="723"/>
      <c r="D4" s="723"/>
      <c r="E4" s="723"/>
    </row>
    <row r="6" spans="1:5" ht="15" customHeight="1">
      <c r="A6" s="723" t="s">
        <v>235</v>
      </c>
      <c r="B6" s="723"/>
      <c r="C6" s="723"/>
      <c r="D6" s="723"/>
      <c r="E6" s="723"/>
    </row>
    <row r="9" spans="1:5" ht="80.25" customHeight="1">
      <c r="A9" s="2" t="s">
        <v>193</v>
      </c>
      <c r="B9" s="2" t="s">
        <v>258</v>
      </c>
      <c r="C9" s="2" t="s">
        <v>259</v>
      </c>
      <c r="D9" s="2" t="s">
        <v>260</v>
      </c>
      <c r="E9" s="2" t="s">
        <v>261</v>
      </c>
    </row>
    <row r="10" spans="1:5" ht="15">
      <c r="A10" s="2">
        <v>1</v>
      </c>
      <c r="B10" s="2">
        <v>2</v>
      </c>
      <c r="C10" s="2">
        <v>3</v>
      </c>
      <c r="D10" s="2">
        <v>4</v>
      </c>
      <c r="E10" s="3">
        <v>5</v>
      </c>
    </row>
    <row r="11" spans="1:5" ht="15">
      <c r="A11" s="2"/>
      <c r="B11" s="12"/>
      <c r="C11" s="3"/>
      <c r="D11" s="3"/>
      <c r="E11" s="3"/>
    </row>
    <row r="12" spans="1:5" ht="15">
      <c r="A12" s="14"/>
      <c r="B12" s="12"/>
      <c r="C12" s="3"/>
      <c r="D12" s="3"/>
      <c r="E12" s="3"/>
    </row>
    <row r="13" spans="1:5" ht="15">
      <c r="A13" s="2"/>
      <c r="B13" s="3"/>
      <c r="C13" s="3"/>
      <c r="D13" s="3"/>
      <c r="E13" s="3"/>
    </row>
    <row r="14" spans="1:5" ht="29.25" customHeight="1">
      <c r="A14" s="14"/>
      <c r="B14" s="7"/>
      <c r="C14" s="3"/>
      <c r="D14" s="3"/>
      <c r="E14" s="3"/>
    </row>
    <row r="15" spans="1:5" ht="15">
      <c r="A15" s="14"/>
      <c r="B15" s="12"/>
      <c r="C15" s="2"/>
      <c r="D15" s="3"/>
      <c r="E15" s="3"/>
    </row>
    <row r="16" spans="1:5" ht="15">
      <c r="A16" s="13"/>
      <c r="B16" s="12" t="s">
        <v>205</v>
      </c>
      <c r="C16" s="3" t="s">
        <v>206</v>
      </c>
      <c r="D16" s="3" t="s">
        <v>206</v>
      </c>
      <c r="E16" s="3"/>
    </row>
    <row r="18" spans="1:4" ht="79.5" customHeight="1">
      <c r="A18" s="729"/>
      <c r="B18" s="729"/>
      <c r="C18" s="729"/>
      <c r="D18" s="729"/>
    </row>
  </sheetData>
  <sheetProtection/>
  <mergeCells count="4">
    <mergeCell ref="A18:D18"/>
    <mergeCell ref="A2:E2"/>
    <mergeCell ref="A4:E4"/>
    <mergeCell ref="A6:E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bagir</dc:creator>
  <cp:keywords/>
  <dc:description/>
  <cp:lastModifiedBy>Admin</cp:lastModifiedBy>
  <cp:lastPrinted>2016-12-17T05:41:17Z</cp:lastPrinted>
  <dcterms:created xsi:type="dcterms:W3CDTF">2016-11-28T03:56:34Z</dcterms:created>
  <dcterms:modified xsi:type="dcterms:W3CDTF">2018-09-13T03:56:48Z</dcterms:modified>
  <cp:category/>
  <cp:version/>
  <cp:contentType/>
  <cp:contentStatus/>
</cp:coreProperties>
</file>